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455" windowWidth="19440" windowHeight="10335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H60" i="23" l="1"/>
  <c r="H59" i="23"/>
  <c r="H56" i="23"/>
  <c r="H55" i="23"/>
  <c r="H54" i="23"/>
  <c r="H32" i="23"/>
  <c r="H31" i="23"/>
  <c r="H28" i="23"/>
  <c r="H27" i="23"/>
  <c r="H26" i="23"/>
  <c r="H36" i="24"/>
  <c r="H34" i="24"/>
  <c r="H20" i="24"/>
  <c r="H18" i="24"/>
  <c r="F18" i="20" l="1"/>
  <c r="G22" i="16" l="1"/>
  <c r="G21" i="16"/>
  <c r="G23" i="16" l="1"/>
  <c r="G55" i="23" l="1"/>
  <c r="G54" i="23" l="1"/>
  <c r="G56" i="23"/>
  <c r="G26" i="23" l="1"/>
  <c r="G27" i="23"/>
  <c r="H33" i="23"/>
  <c r="H29" i="23"/>
  <c r="G28" i="23" l="1"/>
  <c r="G19" i="15" l="1"/>
  <c r="G18" i="15"/>
  <c r="G17" i="15"/>
  <c r="G16" i="15"/>
  <c r="G15" i="15"/>
  <c r="H22" i="18" l="1"/>
  <c r="G23" i="19"/>
  <c r="I29" i="18"/>
  <c r="I23" i="18"/>
  <c r="I22" i="18"/>
  <c r="G56" i="19"/>
  <c r="G41" i="19"/>
  <c r="G52" i="19" s="1"/>
  <c r="G26" i="19"/>
  <c r="G20" i="19"/>
  <c r="G16" i="19"/>
  <c r="G39" i="19" l="1"/>
  <c r="I27" i="18"/>
  <c r="I32" i="18" s="1"/>
  <c r="I37" i="18" s="1"/>
  <c r="G57" i="19"/>
  <c r="F39" i="11" l="1"/>
  <c r="H19" i="24" l="1"/>
  <c r="G36" i="24" l="1"/>
  <c r="F22" i="11" l="1"/>
  <c r="F17" i="11"/>
  <c r="I56" i="19"/>
  <c r="I41" i="19"/>
  <c r="I52" i="19" s="1"/>
  <c r="I26" i="19"/>
  <c r="I23" i="19"/>
  <c r="I20" i="19"/>
  <c r="I16" i="19"/>
  <c r="I57" i="19" l="1"/>
  <c r="I39" i="19"/>
  <c r="J35" i="18" l="1"/>
  <c r="J15" i="18" l="1"/>
  <c r="E22" i="11" l="1"/>
  <c r="E24" i="11" s="1"/>
  <c r="F16" i="20" s="1"/>
  <c r="E17" i="11"/>
  <c r="E26" i="11" l="1"/>
  <c r="F41" i="19"/>
  <c r="H27" i="19"/>
  <c r="J27" i="19" l="1"/>
  <c r="E19" i="16" l="1"/>
  <c r="F37" i="16" l="1"/>
  <c r="F19" i="16"/>
  <c r="G19" i="16" s="1"/>
  <c r="F15" i="11" l="1"/>
  <c r="G33" i="21"/>
  <c r="G15" i="21"/>
  <c r="F15" i="21" l="1"/>
  <c r="F26" i="19"/>
  <c r="F20" i="19"/>
  <c r="J41" i="18"/>
  <c r="J33" i="18"/>
  <c r="F56" i="19" l="1"/>
  <c r="F35" i="24" l="1"/>
  <c r="H35" i="24" s="1"/>
  <c r="F33" i="24"/>
  <c r="H33" i="24" s="1"/>
  <c r="G32" i="24"/>
  <c r="G31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l="1"/>
  <c r="H16" i="24"/>
  <c r="F32" i="24"/>
  <c r="H32" i="24" s="1"/>
  <c r="F15" i="24"/>
  <c r="F31" i="24"/>
  <c r="H31" i="24" s="1"/>
  <c r="H38" i="21"/>
  <c r="H41" i="21"/>
  <c r="H15" i="24"/>
  <c r="H17" i="24"/>
  <c r="H15" i="21"/>
  <c r="H16" i="21"/>
  <c r="H18" i="21"/>
  <c r="H19" i="21"/>
  <c r="H20" i="21"/>
  <c r="H21" i="21"/>
  <c r="H22" i="21"/>
  <c r="H23" i="21"/>
  <c r="F36" i="24" l="1"/>
  <c r="F34" i="24" l="1"/>
  <c r="F60" i="23"/>
  <c r="F59" i="23"/>
  <c r="F36" i="16" l="1"/>
  <c r="E40" i="16" l="1"/>
  <c r="G40" i="16" s="1"/>
  <c r="G45" i="20"/>
  <c r="G24" i="20" l="1"/>
  <c r="E45" i="11"/>
  <c r="G45" i="11" s="1"/>
  <c r="E44" i="11"/>
  <c r="E43" i="11"/>
  <c r="G43" i="11" s="1"/>
  <c r="F24" i="20" l="1"/>
  <c r="F25" i="20" s="1"/>
  <c r="E47" i="11"/>
  <c r="G47" i="11" s="1"/>
  <c r="G21" i="11"/>
  <c r="G23" i="11"/>
  <c r="G25" i="11"/>
  <c r="E46" i="11" l="1"/>
  <c r="F50" i="11"/>
  <c r="F40" i="11"/>
  <c r="F41" i="11"/>
  <c r="F28" i="11"/>
  <c r="F18" i="11"/>
  <c r="F19" i="11"/>
  <c r="G15" i="20" l="1"/>
  <c r="G36" i="20"/>
  <c r="F44" i="11"/>
  <c r="E49" i="11"/>
  <c r="E48" i="11"/>
  <c r="F46" i="11" l="1"/>
  <c r="F48" i="11" s="1"/>
  <c r="G44" i="11"/>
  <c r="F24" i="11"/>
  <c r="F26" i="11" s="1"/>
  <c r="G22" i="11"/>
  <c r="F45" i="20"/>
  <c r="H45" i="20" s="1"/>
  <c r="F42" i="20"/>
  <c r="H42" i="20" s="1"/>
  <c r="F37" i="20"/>
  <c r="E42" i="11"/>
  <c r="G42" i="11" s="1"/>
  <c r="G16" i="20" l="1"/>
  <c r="G24" i="11"/>
  <c r="G37" i="20"/>
  <c r="G46" i="11"/>
  <c r="H21" i="20"/>
  <c r="G20" i="11"/>
  <c r="H16" i="20"/>
  <c r="H24" i="20"/>
  <c r="G49" i="11" l="1"/>
  <c r="G48" i="11"/>
  <c r="G39" i="20"/>
  <c r="G46" i="20"/>
  <c r="G18" i="20"/>
  <c r="G25" i="20"/>
  <c r="H25" i="20" s="1"/>
  <c r="G27" i="11"/>
  <c r="G26" i="11"/>
  <c r="H37" i="20"/>
  <c r="F46" i="20"/>
  <c r="H46" i="20" s="1"/>
  <c r="F43" i="23" l="1"/>
  <c r="H43" i="23" s="1"/>
  <c r="H15" i="23"/>
  <c r="F44" i="23"/>
  <c r="H44" i="23" s="1"/>
  <c r="H16" i="23"/>
  <c r="F45" i="23"/>
  <c r="H45" i="23" s="1"/>
  <c r="H17" i="23"/>
  <c r="F46" i="23"/>
  <c r="H46" i="23" s="1"/>
  <c r="H18" i="23"/>
  <c r="F47" i="23"/>
  <c r="H47" i="23" s="1"/>
  <c r="H19" i="23"/>
  <c r="F48" i="23"/>
  <c r="H48" i="23" s="1"/>
  <c r="H20" i="23"/>
  <c r="F49" i="23"/>
  <c r="H49" i="23" s="1"/>
  <c r="H21" i="23"/>
  <c r="F50" i="23"/>
  <c r="H50" i="23" s="1"/>
  <c r="H22" i="23"/>
  <c r="F51" i="23"/>
  <c r="H51" i="23" s="1"/>
  <c r="H23" i="23"/>
  <c r="F52" i="23"/>
  <c r="H52" i="23" s="1"/>
  <c r="H24" i="23"/>
  <c r="F53" i="23"/>
  <c r="H53" i="23" s="1"/>
  <c r="H25" i="23"/>
  <c r="F26" i="23"/>
  <c r="F27" i="23"/>
  <c r="F28" i="23"/>
  <c r="F34" i="16" l="1"/>
  <c r="F33" i="16"/>
  <c r="F32" i="16"/>
  <c r="F61" i="23"/>
  <c r="H61" i="23" s="1"/>
  <c r="E20" i="16"/>
  <c r="F57" i="23"/>
  <c r="H57" i="23" s="1"/>
  <c r="E18" i="16"/>
  <c r="F17" i="16"/>
  <c r="F16" i="16"/>
  <c r="F15" i="16"/>
  <c r="F56" i="23"/>
  <c r="E17" i="16"/>
  <c r="G17" i="16" s="1"/>
  <c r="F55" i="23"/>
  <c r="E16" i="16"/>
  <c r="G16" i="16" s="1"/>
  <c r="F54" i="23"/>
  <c r="E15" i="16"/>
  <c r="G15" i="16" s="1"/>
  <c r="F38" i="20"/>
  <c r="H38" i="20" s="1"/>
  <c r="H17" i="20"/>
  <c r="F40" i="20"/>
  <c r="H40" i="20" s="1"/>
  <c r="H19" i="20"/>
  <c r="F41" i="20"/>
  <c r="H41" i="20" s="1"/>
  <c r="H20" i="20"/>
  <c r="F39" i="20" l="1"/>
  <c r="H39" i="20" s="1"/>
  <c r="H18" i="20"/>
  <c r="H28" i="19" l="1"/>
  <c r="F37" i="11" l="1"/>
  <c r="F15" i="20"/>
  <c r="H42" i="19"/>
  <c r="H40" i="19"/>
  <c r="E18" i="11"/>
  <c r="E40" i="11" s="1"/>
  <c r="G40" i="11" s="1"/>
  <c r="E19" i="11"/>
  <c r="E41" i="11" s="1"/>
  <c r="G41" i="11" s="1"/>
  <c r="E39" i="11"/>
  <c r="G39" i="11" s="1"/>
  <c r="E38" i="11"/>
  <c r="G38" i="11" s="1"/>
  <c r="F16" i="19"/>
  <c r="J15" i="19"/>
  <c r="J40" i="18"/>
  <c r="J30" i="18"/>
  <c r="J28" i="18"/>
  <c r="J26" i="18"/>
  <c r="J25" i="18"/>
  <c r="J24" i="18"/>
  <c r="J21" i="18"/>
  <c r="J20" i="18"/>
  <c r="J18" i="18"/>
  <c r="J17" i="18"/>
  <c r="J16" i="18"/>
  <c r="G16" i="11" l="1"/>
  <c r="G17" i="11"/>
  <c r="G19" i="11"/>
  <c r="G18" i="11"/>
  <c r="F36" i="20"/>
  <c r="H36" i="20" s="1"/>
  <c r="H15" i="20"/>
  <c r="H53" i="19"/>
  <c r="E28" i="11"/>
  <c r="E50" i="11" s="1"/>
  <c r="G50" i="11" s="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9" i="19"/>
  <c r="H29" i="19"/>
  <c r="H26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38" i="19"/>
  <c r="H38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1" i="19"/>
  <c r="H51" i="19"/>
  <c r="J54" i="19"/>
  <c r="H54" i="19"/>
  <c r="J55" i="19"/>
  <c r="H55" i="19"/>
  <c r="J26" i="19"/>
  <c r="J28" i="19"/>
  <c r="J40" i="19"/>
  <c r="F52" i="19"/>
  <c r="J42" i="19"/>
  <c r="J53" i="19"/>
  <c r="H29" i="18"/>
  <c r="J29" i="18" s="1"/>
  <c r="F39" i="19"/>
  <c r="E15" i="11" l="1"/>
  <c r="E37" i="11" s="1"/>
  <c r="G37" i="11" s="1"/>
  <c r="E38" i="16"/>
  <c r="G38" i="16" s="1"/>
  <c r="E39" i="16"/>
  <c r="G39" i="16" s="1"/>
  <c r="G28" i="11"/>
  <c r="J39" i="19"/>
  <c r="H39" i="19"/>
  <c r="J56" i="19"/>
  <c r="H56" i="19"/>
  <c r="J41" i="19"/>
  <c r="H41" i="19"/>
  <c r="H23" i="19"/>
  <c r="J23" i="19"/>
  <c r="H52" i="19"/>
  <c r="J22" i="18"/>
  <c r="G15" i="11" l="1"/>
  <c r="E37" i="16"/>
  <c r="G37" i="16" s="1"/>
  <c r="E35" i="16"/>
  <c r="F57" i="19"/>
  <c r="J52" i="19"/>
  <c r="J57" i="19" l="1"/>
  <c r="H57" i="19"/>
  <c r="H23" i="18" l="1"/>
  <c r="J23" i="18" l="1"/>
  <c r="H27" i="18"/>
  <c r="H32" i="18" s="1"/>
  <c r="H37" i="18" s="1"/>
  <c r="J27" i="18" l="1"/>
  <c r="J37" i="18" l="1"/>
  <c r="J32" i="18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G36" i="16" s="1"/>
  <c r="E32" i="16"/>
  <c r="G32" i="16" s="1"/>
  <c r="G17" i="17" l="1"/>
  <c r="E33" i="17"/>
  <c r="G33" i="17" s="1"/>
  <c r="E33" i="16"/>
  <c r="G33" i="16" s="1"/>
  <c r="E34" i="16" l="1"/>
  <c r="G34" i="16" s="1"/>
  <c r="J39" i="18" l="1"/>
  <c r="F35" i="21" l="1"/>
  <c r="H35" i="21" s="1"/>
  <c r="H17" i="21"/>
  <c r="F18" i="16" l="1"/>
  <c r="G18" i="16" s="1"/>
  <c r="F20" i="16" l="1"/>
  <c r="G20" i="16" s="1"/>
  <c r="F35" i="16" l="1"/>
  <c r="G35" i="16" s="1"/>
  <c r="F44" i="20" l="1"/>
  <c r="F43" i="20" l="1"/>
  <c r="H43" i="20" l="1"/>
  <c r="H44" i="20" l="1"/>
  <c r="H23" i="20" l="1"/>
  <c r="H22" i="20"/>
  <c r="E34" i="15" l="1"/>
  <c r="G34" i="15" s="1"/>
  <c r="E31" i="15" l="1"/>
  <c r="G31" i="15" s="1"/>
  <c r="E32" i="15"/>
  <c r="G32" i="15" s="1"/>
  <c r="E33" i="15" l="1"/>
  <c r="G33" i="15" s="1"/>
  <c r="E35" i="15" l="1"/>
  <c r="G35" i="15" s="1"/>
</calcChain>
</file>

<file path=xl/sharedStrings.xml><?xml version="1.0" encoding="utf-8"?>
<sst xmlns="http://schemas.openxmlformats.org/spreadsheetml/2006/main" count="334" uniqueCount="149">
  <si>
    <t>ROE</t>
  </si>
  <si>
    <t>ROA</t>
  </si>
  <si>
    <t>RORWA</t>
  </si>
  <si>
    <t>ROTE</t>
  </si>
  <si>
    <t>LCR</t>
  </si>
  <si>
    <t>NSFR</t>
  </si>
  <si>
    <t>Pro-forma:</t>
  </si>
  <si>
    <t>Pro-forma CET1 fully loaded</t>
  </si>
  <si>
    <t>LtD</t>
  </si>
  <si>
    <t>Hiruhileko txostena</t>
  </si>
  <si>
    <t>Urte arteko bilakaera</t>
  </si>
  <si>
    <t>Kopuruak milioi eurotan</t>
  </si>
  <si>
    <t>Ald.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</si>
  <si>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</si>
  <si>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2017/IV</t>
  </si>
  <si>
    <t>2016/IV</t>
  </si>
  <si>
    <t>Aktibo Osoa</t>
  </si>
  <si>
    <t>Zorra adierazten duten baloreak</t>
  </si>
  <si>
    <t>Kapital-tresnak (SE)</t>
  </si>
  <si>
    <t>Partaidetzak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</si>
  <si>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</si>
  <si>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</si>
  <si>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</si>
  <si>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</si>
  <si>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</si>
  <si>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</si>
  <si>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</si>
  <si>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</si>
  <si>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</si>
  <si>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</si>
  <si>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</si>
  <si>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t>Azken hiruhilekoaren bilakaera</t>
  </si>
  <si>
    <t>2017/III</t>
  </si>
  <si>
    <t>CET1 ratioa</t>
  </si>
  <si>
    <t>Tier1 ratioa</t>
  </si>
  <si>
    <t>Kapital osoa ratioa</t>
  </si>
  <si>
    <t>Palanka-efektu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</si>
  <si>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</si>
  <si>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</si>
  <si>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</si>
  <si>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</si>
  <si>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</si>
  <si>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</si>
  <si>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</si>
  <si>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</si>
  <si>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</si>
  <si>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</si>
  <si>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</si>
  <si>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</si>
  <si>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</si>
  <si>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</si>
  <si>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</si>
  <si>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</si>
  <si>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</si>
  <si>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</si>
  <si>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</si>
  <si>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</si>
  <si>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</si>
  <si>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</si>
  <si>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</si>
  <si>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</si>
  <si>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</si>
  <si>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</si>
  <si>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</si>
  <si>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</si>
  <si>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</si>
  <si>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eta partaidetzen bajaren bidezko Galera Irabaziak</t>
  </si>
  <si>
    <t>Aktibo ez-finantzarioen narriaduraren bidezko galerak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</si>
  <si>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</si>
  <si>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</si>
  <si>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</si>
  <si>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</si>
  <si>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</si>
  <si>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</si>
  <si>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e.a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</si>
  <si>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</si>
  <si>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</si>
  <si>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</si>
  <si>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</si>
  <si>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</si>
  <si>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</si>
  <si>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</si>
  <si>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</si>
  <si>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</si>
  <si>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</si>
  <si>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</si>
  <si>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</si>
  <si>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</si>
  <si>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</si>
  <si>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</si>
  <si>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</si>
  <si>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</si>
  <si>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</si>
  <si>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</si>
  <si>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</si>
  <si>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</si>
  <si>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</si>
  <si>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</si>
  <si>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</si>
  <si>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</si>
  <si>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</si>
  <si>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</si>
  <si>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</si>
  <si>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</si>
  <si>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AKTIBOA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</si>
  <si>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</si>
  <si>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</si>
  <si>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</si>
  <si>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</si>
  <si>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</si>
  <si>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</si>
  <si>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</si>
  <si>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</si>
  <si>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</si>
  <si>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</si>
  <si>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</si>
  <si>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</si>
  <si>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</si>
  <si>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</si>
  <si>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</si>
  <si>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t>Bezeroen maileguak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</si>
  <si>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</si>
  <si>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</si>
  <si>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</si>
  <si>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</si>
  <si>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</si>
  <si>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</si>
  <si>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</si>
  <si>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</si>
  <si>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</si>
  <si>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Arrisku kontingenteak barne</t>
    </r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</si>
  <si>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</si>
  <si>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r>
      <t>2017/III</t>
    </r>
    <r>
      <rPr>
        <vertAlign val="superscript"/>
        <sz val="11"/>
        <color theme="1"/>
        <rFont val="Calibri"/>
        <family val="2"/>
        <scheme val="minor"/>
      </rPr>
      <t>1</t>
    </r>
  </si>
  <si>
    <t>Kapitala</t>
  </si>
  <si>
    <t>Erreserbak</t>
  </si>
  <si>
    <t>Ekitaldiaren emaitza</t>
  </si>
  <si>
    <t>Interes minoritarioak</t>
  </si>
  <si>
    <t>Kenkariak</t>
  </si>
  <si>
    <t>Tier I kapitala</t>
  </si>
  <si>
    <t>CET1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</si>
  <si>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</si>
  <si>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</si>
  <si>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</si>
  <si>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</si>
  <si>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</si>
  <si>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</si>
  <si>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</si>
  <si>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</si>
  <si>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t>Pro-forma palanka-efektu ratioa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</si>
</sst>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 adierazgarrienak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 Kontua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maileguak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201083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38249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687847</xdr:colOff>
      <xdr:row>1</xdr:row>
      <xdr:rowOff>31749</xdr:rowOff>
    </xdr:from>
    <xdr:to>
      <xdr:col>4</xdr:col>
      <xdr:colOff>550333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11847" y="222249"/>
          <a:ext cx="1386486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867834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3970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1015983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38733" y="232849"/>
          <a:ext cx="135468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 zifra batzuk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666749</xdr:colOff>
      <xdr:row>1</xdr:row>
      <xdr:rowOff>42333</xdr:rowOff>
    </xdr:from>
    <xdr:to>
      <xdr:col>5</xdr:col>
      <xdr:colOff>857250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14749" y="232833"/>
          <a:ext cx="13652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920736</xdr:colOff>
      <xdr:row>1</xdr:row>
      <xdr:rowOff>42349</xdr:rowOff>
    </xdr:from>
    <xdr:to>
      <xdr:col>7</xdr:col>
      <xdr:colOff>529171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43486" y="232849"/>
          <a:ext cx="154518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 zifra batzuk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867834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3970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455086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1818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 zifra batzuk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656167</xdr:colOff>
      <xdr:row>1</xdr:row>
      <xdr:rowOff>42333</xdr:rowOff>
    </xdr:from>
    <xdr:to>
      <xdr:col>5</xdr:col>
      <xdr:colOff>857251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7" y="232833"/>
          <a:ext cx="137583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994816</xdr:colOff>
      <xdr:row>1</xdr:row>
      <xdr:rowOff>42349</xdr:rowOff>
    </xdr:from>
    <xdr:to>
      <xdr:col>7</xdr:col>
      <xdr:colOff>433917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6" y="232849"/>
          <a:ext cx="13758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</v>
      </c>
      <c r="D10" s="3" t="s">
        <v>9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126</v>
      </c>
    </row>
    <row r="12" spans="2:8" ht="17.25" x14ac:dyDescent="0.3">
      <c r="B12" s="6" t="s">
        <v>10</v>
      </c>
      <c r="G12" s="4"/>
    </row>
    <row r="13" spans="2:8" x14ac:dyDescent="0.25">
      <c r="B13" s="73" t="s">
        <v>11</v>
      </c>
      <c r="G13" s="4"/>
    </row>
    <row r="14" spans="2:8" ht="17.25" x14ac:dyDescent="0.25">
      <c r="B14" s="7"/>
      <c r="C14" s="7"/>
      <c r="D14" s="7"/>
      <c r="E14" s="7"/>
      <c r="F14" s="8" t="s">
        <v>14</v>
      </c>
      <c r="G14" s="9" t="s">
        <v>15</v>
      </c>
      <c r="H14" s="9" t="s">
        <v>12</v>
      </c>
    </row>
    <row r="15" spans="2:8" s="19" customFormat="1" x14ac:dyDescent="0.25">
      <c r="B15" s="19" t="s">
        <v>120</v>
      </c>
      <c r="F15" s="20">
        <f>+'Bezeroen maileguak'!F15</f>
        <v>42006.373</v>
      </c>
      <c r="G15" s="25">
        <f>+'Bezeroen maileguak'!G15</f>
        <v>42573.133000000002</v>
      </c>
      <c r="H15" s="35">
        <f t="shared" ref="H15:H17" si="0">IF(ISERROR($F15/G15),"-",$F15/G15-1)</f>
        <v>-1.3312621366156074E-2</v>
      </c>
    </row>
    <row r="16" spans="2:8" x14ac:dyDescent="0.25">
      <c r="B16" s="21" t="s">
        <v>122</v>
      </c>
      <c r="C16" s="21"/>
      <c r="D16" s="21"/>
      <c r="E16" s="21"/>
      <c r="F16" s="22">
        <v>42914.815000000002</v>
      </c>
      <c r="G16" s="23">
        <f>+'Bezeroen maileguak'!G16</f>
        <v>43685.809000000001</v>
      </c>
      <c r="H16" s="41">
        <f t="shared" si="0"/>
        <v>-1.7648614450518685E-2</v>
      </c>
    </row>
    <row r="17" spans="2:8" x14ac:dyDescent="0.25">
      <c r="B17" s="19" t="s">
        <v>127</v>
      </c>
      <c r="C17" s="19"/>
      <c r="D17" s="19"/>
      <c r="E17" s="19"/>
      <c r="F17" s="20">
        <v>2168.5320000000002</v>
      </c>
      <c r="G17" s="25">
        <v>2963.788</v>
      </c>
      <c r="H17" s="35">
        <f t="shared" si="0"/>
        <v>-0.26832418513065037</v>
      </c>
    </row>
    <row r="18" spans="2:8" ht="17.25" x14ac:dyDescent="0.25">
      <c r="B18" s="5" t="s">
        <v>128</v>
      </c>
      <c r="C18" s="5"/>
      <c r="D18" s="5"/>
      <c r="E18" s="5"/>
      <c r="F18" s="69">
        <v>4.890950518654489E-2</v>
      </c>
      <c r="G18" s="70">
        <v>6.5855855085454232E-2</v>
      </c>
      <c r="H18" s="71" t="str">
        <f>IF(ISERROR($F18-G18),"-",CONCATENATE((FIXED($F18-G18,4)*10000)," op"))</f>
        <v>-169 op</v>
      </c>
    </row>
    <row r="19" spans="2:8" x14ac:dyDescent="0.25">
      <c r="B19" s="19" t="s">
        <v>100</v>
      </c>
      <c r="C19" s="19"/>
      <c r="D19" s="19"/>
      <c r="E19" s="19"/>
      <c r="F19" s="20">
        <v>904.673</v>
      </c>
      <c r="G19" s="25">
        <v>1407.4280000000001</v>
      </c>
      <c r="H19" s="35">
        <f>IF(ISERROR($F19/G19),"-",$F19/G19-1)</f>
        <v>-0.35721543126895305</v>
      </c>
    </row>
    <row r="20" spans="2:8" ht="17.25" x14ac:dyDescent="0.25">
      <c r="B20" s="5" t="s">
        <v>129</v>
      </c>
      <c r="C20" s="5"/>
      <c r="D20" s="5"/>
      <c r="E20" s="5"/>
      <c r="F20" s="69">
        <v>0.42685209936983781</v>
      </c>
      <c r="G20" s="70">
        <v>0.48188259453930882</v>
      </c>
      <c r="H20" s="71" t="str">
        <f>IF(ISERROR($F20-G20),"-",CONCATENATE((FIXED($F20-G20,4)*10000)," op"))</f>
        <v>-550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130</v>
      </c>
      <c r="C22" s="5"/>
      <c r="D22" s="5"/>
      <c r="E22" s="5"/>
      <c r="F22" s="37"/>
      <c r="G22" s="37"/>
      <c r="H22" s="38"/>
    </row>
    <row r="23" spans="2:8" ht="17.25" x14ac:dyDescent="0.25">
      <c r="B23" s="77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31</v>
      </c>
      <c r="G28" s="4"/>
    </row>
    <row r="29" spans="2:8" x14ac:dyDescent="0.25">
      <c r="B29" s="73" t="s">
        <v>11</v>
      </c>
      <c r="G29" s="4"/>
    </row>
    <row r="30" spans="2:8" x14ac:dyDescent="0.25">
      <c r="B30" s="7"/>
      <c r="C30" s="7"/>
      <c r="D30" s="7"/>
      <c r="E30" s="7"/>
      <c r="F30" s="8" t="s">
        <v>14</v>
      </c>
      <c r="G30" s="9" t="s">
        <v>32</v>
      </c>
      <c r="H30" s="9" t="s">
        <v>12</v>
      </c>
    </row>
    <row r="31" spans="2:8" x14ac:dyDescent="0.25">
      <c r="B31" s="19" t="s">
        <v>120</v>
      </c>
      <c r="C31" s="19"/>
      <c r="D31" s="19"/>
      <c r="E31" s="19"/>
      <c r="F31" s="20">
        <f>+'Bezeroen maileguak'!F33</f>
        <v>42006.373</v>
      </c>
      <c r="G31" s="25">
        <f>+'Bezeroen maileguak'!G33</f>
        <v>42784.415000000001</v>
      </c>
      <c r="H31" s="35">
        <f t="shared" ref="H31:H35" si="1">IF(ISERROR($F31/G31),"-",$F31/G31-1)</f>
        <v>-1.8185173269285149E-2</v>
      </c>
    </row>
    <row r="32" spans="2:8" x14ac:dyDescent="0.25">
      <c r="B32" s="21" t="s">
        <v>122</v>
      </c>
      <c r="C32" s="21"/>
      <c r="D32" s="21"/>
      <c r="E32" s="21"/>
      <c r="F32" s="22">
        <f>+'Bezeroen maileguak'!F34</f>
        <v>42914.815000000002</v>
      </c>
      <c r="G32" s="23">
        <f>+'Bezeroen maileguak'!G34</f>
        <v>43891.487000000001</v>
      </c>
      <c r="H32" s="41">
        <f t="shared" si="1"/>
        <v>-2.225196881572955E-2</v>
      </c>
    </row>
    <row r="33" spans="2:8" x14ac:dyDescent="0.25">
      <c r="B33" s="19" t="s">
        <v>127</v>
      </c>
      <c r="C33" s="19"/>
      <c r="D33" s="19"/>
      <c r="E33" s="19"/>
      <c r="F33" s="20">
        <f>+F17</f>
        <v>2168.5320000000002</v>
      </c>
      <c r="G33" s="25">
        <v>2395.5619999999999</v>
      </c>
      <c r="H33" s="35">
        <f t="shared" si="1"/>
        <v>-9.477108085701802E-2</v>
      </c>
    </row>
    <row r="34" spans="2:8" x14ac:dyDescent="0.25">
      <c r="B34" s="5" t="s">
        <v>128</v>
      </c>
      <c r="C34" s="5"/>
      <c r="D34" s="5"/>
      <c r="E34" s="5"/>
      <c r="F34" s="69">
        <f>+F18</f>
        <v>4.890950518654489E-2</v>
      </c>
      <c r="G34" s="70">
        <v>5.2936088345489664E-2</v>
      </c>
      <c r="H34" s="71" t="str">
        <f>IF(ISERROR($F34-G34),"-",CONCATENATE((FIXED($F34-G34,4)*10000)," op"))</f>
        <v>-40 op</v>
      </c>
    </row>
    <row r="35" spans="2:8" x14ac:dyDescent="0.25">
      <c r="B35" s="19" t="s">
        <v>100</v>
      </c>
      <c r="C35" s="19"/>
      <c r="D35" s="19"/>
      <c r="E35" s="19"/>
      <c r="F35" s="20">
        <f t="shared" ref="F35:F36" si="2">+F19</f>
        <v>904.673</v>
      </c>
      <c r="G35" s="25">
        <v>1108.4829999999999</v>
      </c>
      <c r="H35" s="35">
        <f t="shared" si="1"/>
        <v>-0.18386389326674379</v>
      </c>
    </row>
    <row r="36" spans="2:8" ht="17.25" x14ac:dyDescent="0.25">
      <c r="B36" s="5" t="s">
        <v>129</v>
      </c>
      <c r="C36" s="5"/>
      <c r="D36" s="5"/>
      <c r="E36" s="5"/>
      <c r="F36" s="69">
        <f t="shared" si="2"/>
        <v>0.42685209936983781</v>
      </c>
      <c r="G36" s="70">
        <f>+G35/G33</f>
        <v>0.46272356966757694</v>
      </c>
      <c r="H36" s="71" t="str">
        <f>IF(ISERROR($F36-G36),"-",CONCATENATE((FIXED($F36-G36,4)*10000)," op"))</f>
        <v>-359 op</v>
      </c>
    </row>
    <row r="37" spans="2:8" x14ac:dyDescent="0.25">
      <c r="B37" s="5"/>
    </row>
    <row r="38" spans="2:8" ht="17.25" x14ac:dyDescent="0.25">
      <c r="B38" s="67" t="s">
        <v>130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131</v>
      </c>
    </row>
    <row r="12" spans="2:8" ht="17.25" x14ac:dyDescent="0.3">
      <c r="B12" s="6" t="s">
        <v>10</v>
      </c>
      <c r="G12" s="4"/>
    </row>
    <row r="13" spans="2:8" x14ac:dyDescent="0.25">
      <c r="B13" s="73" t="s">
        <v>11</v>
      </c>
      <c r="G13" s="4"/>
    </row>
    <row r="14" spans="2:8" x14ac:dyDescent="0.25">
      <c r="B14" s="7"/>
      <c r="C14" s="7"/>
      <c r="D14" s="7"/>
      <c r="E14" s="7"/>
      <c r="F14" s="8" t="s">
        <v>14</v>
      </c>
      <c r="G14" s="9" t="s">
        <v>15</v>
      </c>
      <c r="H14" s="9" t="s">
        <v>12</v>
      </c>
    </row>
    <row r="15" spans="2:8" x14ac:dyDescent="0.25">
      <c r="B15" s="21" t="s">
        <v>133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134</v>
      </c>
      <c r="C16" s="21"/>
      <c r="D16" s="21"/>
      <c r="E16" s="21"/>
      <c r="F16" s="22">
        <v>2785.076</v>
      </c>
      <c r="G16" s="23">
        <v>2666.422</v>
      </c>
      <c r="H16" s="41">
        <f t="shared" si="0"/>
        <v>4.4499332813785708E-2</v>
      </c>
    </row>
    <row r="17" spans="2:8" x14ac:dyDescent="0.25">
      <c r="B17" s="21" t="s">
        <v>135</v>
      </c>
      <c r="C17" s="21"/>
      <c r="D17" s="21"/>
      <c r="E17" s="21"/>
      <c r="F17" s="22">
        <v>150.977</v>
      </c>
      <c r="G17" s="23">
        <v>122.124</v>
      </c>
      <c r="H17" s="41">
        <f t="shared" si="0"/>
        <v>0.23625986702040547</v>
      </c>
    </row>
    <row r="18" spans="2:8" x14ac:dyDescent="0.25">
      <c r="B18" s="21" t="s">
        <v>136</v>
      </c>
      <c r="C18" s="21"/>
      <c r="D18" s="21"/>
      <c r="E18" s="21"/>
      <c r="F18" s="22">
        <v>2.679391774861791</v>
      </c>
      <c r="G18" s="23">
        <v>4.9059999999999997</v>
      </c>
      <c r="H18" s="41">
        <f t="shared" si="0"/>
        <v>-0.45385410214802457</v>
      </c>
    </row>
    <row r="19" spans="2:8" x14ac:dyDescent="0.25">
      <c r="B19" s="21" t="s">
        <v>106</v>
      </c>
      <c r="C19" s="21"/>
      <c r="D19" s="21"/>
      <c r="E19" s="21"/>
      <c r="F19" s="22">
        <v>335.44940000000003</v>
      </c>
      <c r="G19" s="23">
        <v>282.28459999999995</v>
      </c>
      <c r="H19" s="41">
        <f t="shared" si="0"/>
        <v>0.18833758554310109</v>
      </c>
    </row>
    <row r="20" spans="2:8" x14ac:dyDescent="0.25">
      <c r="B20" s="21" t="s">
        <v>90</v>
      </c>
      <c r="C20" s="21"/>
      <c r="D20" s="21"/>
      <c r="E20" s="21"/>
      <c r="F20" s="22">
        <v>-337.61900000000003</v>
      </c>
      <c r="G20" s="23">
        <v>-325.78899999999999</v>
      </c>
      <c r="H20" s="41">
        <f t="shared" si="0"/>
        <v>3.631184601076165E-2</v>
      </c>
    </row>
    <row r="21" spans="2:8" x14ac:dyDescent="0.25">
      <c r="B21" s="21" t="s">
        <v>137</v>
      </c>
      <c r="C21" s="21"/>
      <c r="D21" s="21"/>
      <c r="E21" s="21"/>
      <c r="F21" s="22">
        <v>-316.66472140450009</v>
      </c>
      <c r="G21" s="23">
        <v>-197.23913438719626</v>
      </c>
      <c r="H21" s="41">
        <f t="shared" si="0"/>
        <v>0.60548626614260947</v>
      </c>
    </row>
    <row r="22" spans="2:8" x14ac:dyDescent="0.25">
      <c r="B22" s="5" t="s">
        <v>139</v>
      </c>
      <c r="C22" s="5"/>
      <c r="D22" s="5"/>
      <c r="E22" s="5"/>
      <c r="F22" s="17">
        <v>4679.8980703703619</v>
      </c>
      <c r="G22" s="37">
        <v>4612.7084656128036</v>
      </c>
      <c r="H22" s="38">
        <f t="shared" si="0"/>
        <v>1.4566193649229842E-2</v>
      </c>
    </row>
    <row r="23" spans="2:8" x14ac:dyDescent="0.25">
      <c r="B23" s="5" t="s">
        <v>138</v>
      </c>
      <c r="C23" s="5"/>
      <c r="D23" s="5"/>
      <c r="E23" s="5"/>
      <c r="F23" s="17">
        <v>4679.8980703703619</v>
      </c>
      <c r="G23" s="37">
        <v>4612.7084656128036</v>
      </c>
      <c r="H23" s="38">
        <f t="shared" si="0"/>
        <v>1.4566193649229842E-2</v>
      </c>
    </row>
    <row r="24" spans="2:8" x14ac:dyDescent="0.25">
      <c r="B24" s="5" t="s">
        <v>140</v>
      </c>
      <c r="C24" s="5"/>
      <c r="D24" s="5"/>
      <c r="E24" s="5"/>
      <c r="F24" s="17">
        <v>4679.8980703703619</v>
      </c>
      <c r="G24" s="37">
        <v>4612.7084656128036</v>
      </c>
      <c r="H24" s="38">
        <f t="shared" si="0"/>
        <v>1.4566193649229842E-2</v>
      </c>
    </row>
    <row r="25" spans="2:8" x14ac:dyDescent="0.25">
      <c r="B25" s="5" t="s">
        <v>141</v>
      </c>
      <c r="C25" s="5"/>
      <c r="D25" s="5"/>
      <c r="E25" s="5"/>
      <c r="F25" s="17">
        <v>29789.552659469708</v>
      </c>
      <c r="G25" s="37">
        <v>30352.742730274837</v>
      </c>
      <c r="H25" s="38">
        <f t="shared" si="0"/>
        <v>-1.8554832945735233E-2</v>
      </c>
    </row>
    <row r="26" spans="2:8" ht="17.25" x14ac:dyDescent="0.3">
      <c r="B26" s="6" t="s">
        <v>142</v>
      </c>
      <c r="C26" s="6"/>
      <c r="D26" s="6"/>
      <c r="E26" s="6"/>
      <c r="F26" s="42">
        <f>+F22/F25</f>
        <v>0.1570986353459955</v>
      </c>
      <c r="G26" s="43">
        <f>+G22/G25</f>
        <v>0.151970070929107</v>
      </c>
      <c r="H26" s="44" t="str">
        <f>IF(ISERROR($F26-G26),"-",CONCATENATE((FIXED($F26-G26,4)*10000)," op"))</f>
        <v>51 op</v>
      </c>
    </row>
    <row r="27" spans="2:8" ht="17.25" x14ac:dyDescent="0.3">
      <c r="B27" s="6" t="s">
        <v>143</v>
      </c>
      <c r="C27" s="6"/>
      <c r="D27" s="6"/>
      <c r="E27" s="6"/>
      <c r="F27" s="42">
        <f>+F23/F25</f>
        <v>0.1570986353459955</v>
      </c>
      <c r="G27" s="43">
        <f>+G23/G25</f>
        <v>0.151970070929107</v>
      </c>
      <c r="H27" s="44" t="str">
        <f>IF(ISERROR($F27-G27),"-",CONCATENATE((FIXED($F27-G27,4)*10000)," op"))</f>
        <v>51 op</v>
      </c>
    </row>
    <row r="28" spans="2:8" ht="17.25" x14ac:dyDescent="0.3">
      <c r="B28" s="6" t="s">
        <v>35</v>
      </c>
      <c r="C28" s="6"/>
      <c r="D28" s="6"/>
      <c r="E28" s="6"/>
      <c r="F28" s="42">
        <f>+F24/F25</f>
        <v>0.1570986353459955</v>
      </c>
      <c r="G28" s="43">
        <f>+G24/G25</f>
        <v>0.151970070929107</v>
      </c>
      <c r="H28" s="44" t="str">
        <f>IF(ISERROR($F28-G28),"-",CONCATENATE((FIXED($F28-G28,4)*10000)," op"))</f>
        <v>51 op</v>
      </c>
    </row>
    <row r="29" spans="2:8" ht="17.25" x14ac:dyDescent="0.3">
      <c r="B29" s="6" t="s">
        <v>36</v>
      </c>
      <c r="C29" s="6"/>
      <c r="D29" s="6"/>
      <c r="E29" s="6"/>
      <c r="F29" s="42">
        <v>8.0731580261962754E-2</v>
      </c>
      <c r="G29" s="43">
        <v>8.0883195637725905E-2</v>
      </c>
      <c r="H29" s="44" t="str">
        <f>IF(ISERROR($F29-G29),"-",CONCATENATE((FIXED($F29-G29,4)*10000)," op"))</f>
        <v>-2 op</v>
      </c>
    </row>
    <row r="30" spans="2:8" x14ac:dyDescent="0.25">
      <c r="B30" s="50" t="s">
        <v>6</v>
      </c>
      <c r="C30" s="21"/>
      <c r="D30" s="21"/>
      <c r="E30" s="21"/>
      <c r="F30" s="51"/>
      <c r="G30" s="21"/>
      <c r="H30" s="52"/>
    </row>
    <row r="31" spans="2:8" x14ac:dyDescent="0.25">
      <c r="B31" s="53" t="s">
        <v>144</v>
      </c>
      <c r="C31" s="54"/>
      <c r="D31" s="54"/>
      <c r="E31" s="54"/>
      <c r="F31" s="55">
        <v>0.15320943844257678</v>
      </c>
      <c r="G31" s="79">
        <v>0.14843495096854686</v>
      </c>
      <c r="H31" s="56" t="str">
        <f>IF(ISERROR($F31-G31),"-",CONCATENATE((FIXED($F31-G31,4)*10000)," op"))</f>
        <v>48 op</v>
      </c>
    </row>
    <row r="32" spans="2:8" x14ac:dyDescent="0.25">
      <c r="B32" s="50" t="s">
        <v>145</v>
      </c>
      <c r="C32" s="21"/>
      <c r="D32" s="21"/>
      <c r="E32" s="21"/>
      <c r="F32" s="57">
        <v>0.15320943844257678</v>
      </c>
      <c r="G32" s="58">
        <v>0.14843495096854686</v>
      </c>
      <c r="H32" s="59" t="str">
        <f>IF(ISERROR($F32-G32),"-",CONCATENATE((FIXED($F32-G32,4)*10000)," op"))</f>
        <v>48 op</v>
      </c>
    </row>
    <row r="33" spans="2:8" x14ac:dyDescent="0.25">
      <c r="B33" s="50" t="s">
        <v>146</v>
      </c>
      <c r="C33" s="21"/>
      <c r="D33" s="21"/>
      <c r="E33" s="21"/>
      <c r="F33" s="57">
        <v>7.9095294773285016E-2</v>
      </c>
      <c r="G33" s="58">
        <v>7.9698663620372395E-2</v>
      </c>
      <c r="H33" s="59" t="str">
        <f>IF(ISERROR($F33-G33),"-",CONCATENATE((FIXED($F33-G33,4)*10000)," op"))</f>
        <v>-6 op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31</v>
      </c>
      <c r="G40" s="4"/>
    </row>
    <row r="41" spans="2:8" x14ac:dyDescent="0.25">
      <c r="B41" s="73" t="s">
        <v>11</v>
      </c>
      <c r="G41" s="4"/>
    </row>
    <row r="42" spans="2:8" ht="17.25" x14ac:dyDescent="0.25">
      <c r="B42" s="7"/>
      <c r="C42" s="7"/>
      <c r="D42" s="7"/>
      <c r="E42" s="7"/>
      <c r="F42" s="8" t="s">
        <v>14</v>
      </c>
      <c r="G42" s="9" t="s">
        <v>132</v>
      </c>
      <c r="H42" s="9" t="s">
        <v>12</v>
      </c>
    </row>
    <row r="43" spans="2:8" x14ac:dyDescent="0.25">
      <c r="B43" s="21" t="s">
        <v>133</v>
      </c>
      <c r="C43" s="21"/>
      <c r="D43" s="21"/>
      <c r="E43" s="21"/>
      <c r="F43" s="22">
        <f t="shared" ref="F43:F57" si="1"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134</v>
      </c>
      <c r="C44" s="21"/>
      <c r="D44" s="21"/>
      <c r="E44" s="21"/>
      <c r="F44" s="22">
        <f t="shared" si="1"/>
        <v>2785.076</v>
      </c>
      <c r="G44" s="23">
        <v>2788.5459999999998</v>
      </c>
      <c r="H44" s="41">
        <f t="shared" si="2"/>
        <v>-1.2443761013803956E-3</v>
      </c>
    </row>
    <row r="45" spans="2:8" x14ac:dyDescent="0.25">
      <c r="B45" s="21" t="s">
        <v>135</v>
      </c>
      <c r="C45" s="21"/>
      <c r="D45" s="21"/>
      <c r="E45" s="21"/>
      <c r="F45" s="22">
        <f t="shared" si="1"/>
        <v>150.977</v>
      </c>
      <c r="G45" s="23">
        <v>115.422</v>
      </c>
      <c r="H45" s="41">
        <f t="shared" si="2"/>
        <v>0.30804352723051065</v>
      </c>
    </row>
    <row r="46" spans="2:8" x14ac:dyDescent="0.25">
      <c r="B46" s="21" t="s">
        <v>136</v>
      </c>
      <c r="C46" s="21"/>
      <c r="D46" s="21"/>
      <c r="E46" s="21"/>
      <c r="F46" s="22">
        <f t="shared" si="1"/>
        <v>2.679391774861791</v>
      </c>
      <c r="G46" s="23">
        <v>4.3194068445461307</v>
      </c>
      <c r="H46" s="41">
        <f t="shared" si="2"/>
        <v>-0.37968525047717916</v>
      </c>
    </row>
    <row r="47" spans="2:8" x14ac:dyDescent="0.25">
      <c r="B47" s="21" t="s">
        <v>106</v>
      </c>
      <c r="C47" s="21"/>
      <c r="D47" s="21"/>
      <c r="E47" s="21"/>
      <c r="F47" s="22">
        <f t="shared" si="1"/>
        <v>335.44940000000003</v>
      </c>
      <c r="G47" s="23">
        <v>336.40280000000001</v>
      </c>
      <c r="H47" s="41">
        <f t="shared" si="2"/>
        <v>-2.8341024509902502E-3</v>
      </c>
    </row>
    <row r="48" spans="2:8" x14ac:dyDescent="0.25">
      <c r="B48" s="21" t="s">
        <v>90</v>
      </c>
      <c r="C48" s="21"/>
      <c r="D48" s="21"/>
      <c r="E48" s="21"/>
      <c r="F48" s="22">
        <f t="shared" si="1"/>
        <v>-337.61900000000003</v>
      </c>
      <c r="G48" s="23">
        <v>-337.46800000000002</v>
      </c>
      <c r="H48" s="41">
        <f t="shared" si="2"/>
        <v>4.4744983228039992E-4</v>
      </c>
    </row>
    <row r="49" spans="2:8" x14ac:dyDescent="0.25">
      <c r="B49" s="21" t="s">
        <v>137</v>
      </c>
      <c r="C49" s="21"/>
      <c r="D49" s="21"/>
      <c r="E49" s="21"/>
      <c r="F49" s="22">
        <f t="shared" si="1"/>
        <v>-316.66472140450009</v>
      </c>
      <c r="G49" s="23">
        <v>-300.67029592451667</v>
      </c>
      <c r="H49" s="41">
        <f t="shared" si="2"/>
        <v>5.3195894961299395E-2</v>
      </c>
    </row>
    <row r="50" spans="2:8" x14ac:dyDescent="0.25">
      <c r="B50" s="5" t="s">
        <v>139</v>
      </c>
      <c r="C50" s="5"/>
      <c r="D50" s="5"/>
      <c r="E50" s="5"/>
      <c r="F50" s="17">
        <f t="shared" si="1"/>
        <v>4679.8980703703619</v>
      </c>
      <c r="G50" s="37">
        <v>4666.5519109200295</v>
      </c>
      <c r="H50" s="38">
        <f t="shared" si="2"/>
        <v>2.8599616387212645E-3</v>
      </c>
    </row>
    <row r="51" spans="2:8" x14ac:dyDescent="0.25">
      <c r="B51" s="5" t="s">
        <v>138</v>
      </c>
      <c r="C51" s="5"/>
      <c r="D51" s="5"/>
      <c r="E51" s="5"/>
      <c r="F51" s="17">
        <f t="shared" si="1"/>
        <v>4679.8980703703619</v>
      </c>
      <c r="G51" s="37">
        <v>4666.5519109200295</v>
      </c>
      <c r="H51" s="38">
        <f t="shared" si="2"/>
        <v>2.8599616387212645E-3</v>
      </c>
    </row>
    <row r="52" spans="2:8" x14ac:dyDescent="0.25">
      <c r="B52" s="5" t="s">
        <v>140</v>
      </c>
      <c r="C52" s="5"/>
      <c r="D52" s="5"/>
      <c r="E52" s="5"/>
      <c r="F52" s="17">
        <f t="shared" si="1"/>
        <v>4679.8980703703619</v>
      </c>
      <c r="G52" s="37">
        <v>4666.5519109200295</v>
      </c>
      <c r="H52" s="38">
        <f t="shared" si="2"/>
        <v>2.8599616387212645E-3</v>
      </c>
    </row>
    <row r="53" spans="2:8" x14ac:dyDescent="0.25">
      <c r="B53" s="5" t="s">
        <v>141</v>
      </c>
      <c r="C53" s="5"/>
      <c r="D53" s="5"/>
      <c r="E53" s="5"/>
      <c r="F53" s="17">
        <f t="shared" si="1"/>
        <v>29789.552659469708</v>
      </c>
      <c r="G53" s="37">
        <v>30613.197331359654</v>
      </c>
      <c r="H53" s="38">
        <f t="shared" si="2"/>
        <v>-2.6904888861321807E-2</v>
      </c>
    </row>
    <row r="54" spans="2:8" ht="17.25" x14ac:dyDescent="0.3">
      <c r="B54" s="6" t="s">
        <v>142</v>
      </c>
      <c r="C54" s="6"/>
      <c r="D54" s="6"/>
      <c r="E54" s="6"/>
      <c r="F54" s="42">
        <f t="shared" si="1"/>
        <v>0.1570986353459955</v>
      </c>
      <c r="G54" s="43">
        <f>+G50/G53</f>
        <v>0.15243595304367932</v>
      </c>
      <c r="H54" s="44" t="str">
        <f>IF(ISERROR($F54-G54),"-",CONCATENATE((FIXED($F54-G54,4)*10000)," op"))</f>
        <v>47 op</v>
      </c>
    </row>
    <row r="55" spans="2:8" ht="17.25" x14ac:dyDescent="0.3">
      <c r="B55" s="6" t="s">
        <v>143</v>
      </c>
      <c r="C55" s="6"/>
      <c r="D55" s="6"/>
      <c r="E55" s="6"/>
      <c r="F55" s="42">
        <f t="shared" si="1"/>
        <v>0.1570986353459955</v>
      </c>
      <c r="G55" s="43">
        <f>+G51/G53</f>
        <v>0.15243595304367932</v>
      </c>
      <c r="H55" s="44" t="str">
        <f>IF(ISERROR($F55-G55),"-",CONCATENATE((FIXED($F55-G55,4)*10000)," op"))</f>
        <v>47 op</v>
      </c>
    </row>
    <row r="56" spans="2:8" ht="17.25" x14ac:dyDescent="0.3">
      <c r="B56" s="6" t="s">
        <v>35</v>
      </c>
      <c r="C56" s="6"/>
      <c r="D56" s="6"/>
      <c r="E56" s="6"/>
      <c r="F56" s="42">
        <f t="shared" si="1"/>
        <v>0.1570986353459955</v>
      </c>
      <c r="G56" s="43">
        <f>+G52/G53</f>
        <v>0.15243595304367932</v>
      </c>
      <c r="H56" s="44" t="str">
        <f>IF(ISERROR($F56-G56),"-",CONCATENATE((FIXED($F56-G56,4)*10000)," op"))</f>
        <v>47 op</v>
      </c>
    </row>
    <row r="57" spans="2:8" ht="17.25" x14ac:dyDescent="0.3">
      <c r="B57" s="6" t="s">
        <v>36</v>
      </c>
      <c r="C57" s="6"/>
      <c r="D57" s="6"/>
      <c r="E57" s="6"/>
      <c r="F57" s="42">
        <f t="shared" si="1"/>
        <v>8.0731580261962754E-2</v>
      </c>
      <c r="G57" s="43">
        <v>8.059088281366085E-2</v>
      </c>
      <c r="H57" s="44" t="str">
        <f>IF(ISERROR($F57-G57),"-",CONCATENATE((FIXED($F57-G57,4)*10000)," op"))</f>
        <v>1 op</v>
      </c>
    </row>
    <row r="58" spans="2:8" x14ac:dyDescent="0.25">
      <c r="B58" s="50" t="s">
        <v>6</v>
      </c>
      <c r="C58" s="21"/>
      <c r="D58" s="21"/>
      <c r="E58" s="21"/>
      <c r="F58" s="51"/>
      <c r="G58" s="21"/>
      <c r="H58" s="52"/>
    </row>
    <row r="59" spans="2:8" x14ac:dyDescent="0.25">
      <c r="B59" s="53" t="s">
        <v>144</v>
      </c>
      <c r="C59" s="54"/>
      <c r="D59" s="54"/>
      <c r="E59" s="54"/>
      <c r="F59" s="55">
        <f t="shared" ref="F59:F61" si="3">+F31</f>
        <v>0.15320943844257678</v>
      </c>
      <c r="G59" s="79">
        <v>0.1486974203180918</v>
      </c>
      <c r="H59" s="56" t="str">
        <f>IF(ISERROR($F59-G59),"-",CONCATENATE((FIXED($F59-G59,4)*10000)," op"))</f>
        <v>45 op</v>
      </c>
    </row>
    <row r="60" spans="2:8" x14ac:dyDescent="0.25">
      <c r="B60" s="50" t="s">
        <v>145</v>
      </c>
      <c r="C60" s="21"/>
      <c r="D60" s="21"/>
      <c r="E60" s="21"/>
      <c r="F60" s="57">
        <f t="shared" si="3"/>
        <v>0.15320943844257678</v>
      </c>
      <c r="G60" s="58">
        <v>0.1486974203180918</v>
      </c>
      <c r="H60" s="59" t="str">
        <f>IF(ISERROR($F60-G60),"-",CONCATENATE((FIXED($F60-G60,4)*10000)," op"))</f>
        <v>45 op</v>
      </c>
    </row>
    <row r="61" spans="2:8" x14ac:dyDescent="0.25">
      <c r="B61" s="50" t="s">
        <v>146</v>
      </c>
      <c r="C61" s="21"/>
      <c r="D61" s="21"/>
      <c r="E61" s="21"/>
      <c r="F61" s="57">
        <f t="shared" si="3"/>
        <v>7.9095294773285016E-2</v>
      </c>
      <c r="G61" s="58">
        <v>7.8980304768099807E-2</v>
      </c>
      <c r="H61" s="59" t="str">
        <f>IF(ISERROR($F61-G61),"-",CONCATENATE((FIXED($F61-G61,4)*10000)," op"))</f>
        <v>1 op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147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10</v>
      </c>
      <c r="F12" s="4"/>
    </row>
    <row r="13" spans="2:7" x14ac:dyDescent="0.25">
      <c r="B13" s="73" t="s">
        <v>11</v>
      </c>
      <c r="F13" s="4"/>
    </row>
    <row r="14" spans="2:7" x14ac:dyDescent="0.25">
      <c r="B14" s="7"/>
      <c r="C14" s="7"/>
      <c r="D14" s="7"/>
      <c r="E14" s="8" t="s">
        <v>14</v>
      </c>
      <c r="F14" s="9" t="s">
        <v>15</v>
      </c>
      <c r="G14" s="9" t="s">
        <v>12</v>
      </c>
    </row>
    <row r="15" spans="2:7" s="5" customFormat="1" x14ac:dyDescent="0.25">
      <c r="B15" s="60" t="s">
        <v>16</v>
      </c>
      <c r="C15" s="60"/>
      <c r="D15" s="60"/>
      <c r="E15" s="47">
        <f>+Balantzea!F39</f>
        <v>57441.741000000002</v>
      </c>
      <c r="F15" s="45">
        <f>+Balantzea!G39</f>
        <v>56515.915999999997</v>
      </c>
      <c r="G15" s="38">
        <f t="shared" ref="G15:G28" si="0">IF(ISERROR($E15/F15),"-",$E15/F15-1)</f>
        <v>1.6381668484325873E-2</v>
      </c>
    </row>
    <row r="16" spans="2:7" x14ac:dyDescent="0.25">
      <c r="B16" s="1" t="s">
        <v>17</v>
      </c>
      <c r="C16" s="19"/>
      <c r="D16" s="19"/>
      <c r="E16" s="48">
        <v>2769.5749999999998</v>
      </c>
      <c r="F16" s="28">
        <v>2294.8620000000001</v>
      </c>
      <c r="G16" s="29">
        <f t="shared" si="0"/>
        <v>0.20685906167778279</v>
      </c>
    </row>
    <row r="17" spans="2:7" x14ac:dyDescent="0.25">
      <c r="B17" s="1" t="s">
        <v>18</v>
      </c>
      <c r="E17" s="48">
        <f>+Balantzea!F18+Balantzea!F21+Balantzea!F24</f>
        <v>1378.6690000000001</v>
      </c>
      <c r="F17" s="28">
        <f>+Balantzea!G18+Balantzea!G21+Balantzea!G24</f>
        <v>2212.9069999999997</v>
      </c>
      <c r="G17" s="29">
        <f t="shared" si="0"/>
        <v>-0.37698737452590625</v>
      </c>
    </row>
    <row r="18" spans="2:7" x14ac:dyDescent="0.25">
      <c r="B18" s="1" t="s">
        <v>19</v>
      </c>
      <c r="E18" s="48">
        <f>+Balantzea!F33</f>
        <v>514.52200000000005</v>
      </c>
      <c r="F18" s="28">
        <f>+Balantzea!$G$33</f>
        <v>503.11799999999999</v>
      </c>
      <c r="G18" s="29">
        <f t="shared" si="0"/>
        <v>2.2666650765824414E-2</v>
      </c>
    </row>
    <row r="19" spans="2:7" s="5" customFormat="1" x14ac:dyDescent="0.25">
      <c r="B19" s="5" t="s">
        <v>120</v>
      </c>
      <c r="E19" s="47">
        <f>+Balantzea!F29</f>
        <v>42006.373</v>
      </c>
      <c r="F19" s="45">
        <f>+Balantzea!$G$29</f>
        <v>42573.133000000002</v>
      </c>
      <c r="G19" s="38">
        <f t="shared" si="0"/>
        <v>-1.3312621366156074E-2</v>
      </c>
    </row>
    <row r="20" spans="2:7" x14ac:dyDescent="0.25">
      <c r="B20" s="1" t="s">
        <v>20</v>
      </c>
      <c r="E20" s="48">
        <v>3138.9430000000002</v>
      </c>
      <c r="F20" s="28">
        <v>4035.0990000000002</v>
      </c>
      <c r="G20" s="29">
        <f t="shared" si="0"/>
        <v>-0.22209021389561934</v>
      </c>
    </row>
    <row r="21" spans="2:7" s="21" customFormat="1" x14ac:dyDescent="0.25">
      <c r="B21" s="21" t="s">
        <v>21</v>
      </c>
      <c r="E21" s="22">
        <v>0</v>
      </c>
      <c r="F21" s="76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f>+Balantzea!$F$44</f>
        <v>41812.552000000003</v>
      </c>
      <c r="F22" s="45">
        <f>+Balantzea!$G$44</f>
        <v>41227.453000000001</v>
      </c>
      <c r="G22" s="38">
        <f t="shared" si="0"/>
        <v>1.4191975429576065E-2</v>
      </c>
    </row>
    <row r="23" spans="2:7" s="5" customFormat="1" x14ac:dyDescent="0.25">
      <c r="B23" s="21" t="s">
        <v>23</v>
      </c>
      <c r="C23" s="21"/>
      <c r="D23" s="21"/>
      <c r="E23" s="49">
        <v>1685.9796654599998</v>
      </c>
      <c r="F23" s="46">
        <v>2353.3449286899995</v>
      </c>
      <c r="G23" s="41">
        <f t="shared" si="0"/>
        <v>-0.28358157577924281</v>
      </c>
    </row>
    <row r="24" spans="2:7" x14ac:dyDescent="0.25">
      <c r="B24" s="54" t="s">
        <v>24</v>
      </c>
      <c r="C24" s="54"/>
      <c r="D24" s="54"/>
      <c r="E24" s="61">
        <f>+E22-E23</f>
        <v>40126.572334540004</v>
      </c>
      <c r="F24" s="62">
        <f>+F22-F23</f>
        <v>38874.108071310002</v>
      </c>
      <c r="G24" s="63">
        <f t="shared" si="0"/>
        <v>3.2218469448417997E-2</v>
      </c>
    </row>
    <row r="25" spans="2:7" s="19" customFormat="1" x14ac:dyDescent="0.25">
      <c r="B25" s="1" t="s">
        <v>25</v>
      </c>
      <c r="C25" s="1"/>
      <c r="D25" s="1"/>
      <c r="E25" s="48">
        <v>19267.462245180002</v>
      </c>
      <c r="F25" s="28">
        <v>17886.114987289995</v>
      </c>
      <c r="G25" s="29">
        <f t="shared" si="0"/>
        <v>7.7230145219999047E-2</v>
      </c>
    </row>
    <row r="26" spans="2:7" x14ac:dyDescent="0.25">
      <c r="B26" s="5" t="s">
        <v>26</v>
      </c>
      <c r="C26" s="5"/>
      <c r="D26" s="5"/>
      <c r="E26" s="47">
        <f>+E24+E25</f>
        <v>59394.034579720006</v>
      </c>
      <c r="F26" s="45">
        <f>+F24+F25</f>
        <v>56760.223058599993</v>
      </c>
      <c r="G26" s="38">
        <f t="shared" si="0"/>
        <v>4.640241667832834E-2</v>
      </c>
    </row>
    <row r="27" spans="2:7" s="5" customFormat="1" x14ac:dyDescent="0.25">
      <c r="B27" s="1" t="s">
        <v>27</v>
      </c>
      <c r="C27" s="1"/>
      <c r="D27" s="1"/>
      <c r="E27" s="48">
        <v>102165.06757972001</v>
      </c>
      <c r="F27" s="28">
        <v>100321.2350586</v>
      </c>
      <c r="G27" s="29">
        <f t="shared" si="0"/>
        <v>1.8379284505847471E-2</v>
      </c>
    </row>
    <row r="28" spans="2:7" x14ac:dyDescent="0.25">
      <c r="B28" s="5" t="s">
        <v>28</v>
      </c>
      <c r="C28" s="5"/>
      <c r="D28" s="5"/>
      <c r="E28" s="47">
        <f>+Balantzea!F53</f>
        <v>5031.6080000000002</v>
      </c>
      <c r="F28" s="45">
        <f>+Balantzea!$G$53</f>
        <v>4875.5159999999996</v>
      </c>
      <c r="G28" s="38">
        <f t="shared" si="0"/>
        <v>3.2015483079124385E-2</v>
      </c>
    </row>
    <row r="34" spans="2:7" ht="17.25" x14ac:dyDescent="0.3">
      <c r="B34" s="6" t="s">
        <v>31</v>
      </c>
      <c r="F34" s="4"/>
    </row>
    <row r="35" spans="2:7" x14ac:dyDescent="0.25">
      <c r="B35" s="73" t="s">
        <v>11</v>
      </c>
      <c r="F35" s="4"/>
    </row>
    <row r="36" spans="2:7" x14ac:dyDescent="0.25">
      <c r="B36" s="7"/>
      <c r="C36" s="7"/>
      <c r="D36" s="7"/>
      <c r="E36" s="8" t="s">
        <v>14</v>
      </c>
      <c r="F36" s="9" t="s">
        <v>32</v>
      </c>
      <c r="G36" s="9" t="s">
        <v>12</v>
      </c>
    </row>
    <row r="37" spans="2:7" x14ac:dyDescent="0.25">
      <c r="B37" s="60" t="s">
        <v>16</v>
      </c>
      <c r="C37" s="60"/>
      <c r="D37" s="60"/>
      <c r="E37" s="47">
        <f>+E15</f>
        <v>57441.741000000002</v>
      </c>
      <c r="F37" s="45">
        <f>+Balantzea!I39</f>
        <v>57089.421999999999</v>
      </c>
      <c r="G37" s="38">
        <f t="shared" ref="G37:G50" si="1">IF(ISERROR($E37/F37),"-",$E37/F37-1)</f>
        <v>6.171353425158177E-3</v>
      </c>
    </row>
    <row r="38" spans="2:7" x14ac:dyDescent="0.25">
      <c r="B38" s="1" t="s">
        <v>17</v>
      </c>
      <c r="C38" s="19"/>
      <c r="D38" s="19"/>
      <c r="E38" s="48">
        <f>+E16</f>
        <v>2769.5749999999998</v>
      </c>
      <c r="F38" s="28">
        <v>2712.3150000000001</v>
      </c>
      <c r="G38" s="29">
        <f t="shared" si="1"/>
        <v>2.1111117255923295E-2</v>
      </c>
    </row>
    <row r="39" spans="2:7" x14ac:dyDescent="0.25">
      <c r="B39" s="1" t="s">
        <v>18</v>
      </c>
      <c r="E39" s="48">
        <f t="shared" ref="E39:E50" si="2">+E17</f>
        <v>1378.6690000000001</v>
      </c>
      <c r="F39" s="28">
        <f>+Balantzea!I18+Balantzea!I21+Balantzea!$I$24</f>
        <v>1445.4170000000001</v>
      </c>
      <c r="G39" s="29">
        <f t="shared" si="1"/>
        <v>-4.6179061129072108E-2</v>
      </c>
    </row>
    <row r="40" spans="2:7" x14ac:dyDescent="0.25">
      <c r="B40" s="1" t="s">
        <v>19</v>
      </c>
      <c r="E40" s="48">
        <f t="shared" si="2"/>
        <v>514.52200000000005</v>
      </c>
      <c r="F40" s="28">
        <f>+Balantzea!$I$33</f>
        <v>514.88400000000001</v>
      </c>
      <c r="G40" s="29">
        <f t="shared" si="1"/>
        <v>-7.0307098297861526E-4</v>
      </c>
    </row>
    <row r="41" spans="2:7" x14ac:dyDescent="0.25">
      <c r="B41" s="5" t="s">
        <v>120</v>
      </c>
      <c r="C41" s="5"/>
      <c r="D41" s="5"/>
      <c r="E41" s="47">
        <f t="shared" si="2"/>
        <v>42006.373</v>
      </c>
      <c r="F41" s="45">
        <f>+Balantzea!$I$29</f>
        <v>42784.415000000001</v>
      </c>
      <c r="G41" s="38">
        <f t="shared" si="1"/>
        <v>-1.8185173269285149E-2</v>
      </c>
    </row>
    <row r="42" spans="2:7" x14ac:dyDescent="0.25">
      <c r="B42" s="1" t="s">
        <v>20</v>
      </c>
      <c r="E42" s="48">
        <f t="shared" si="2"/>
        <v>3138.9430000000002</v>
      </c>
      <c r="F42" s="28">
        <v>3142.4949999999999</v>
      </c>
      <c r="G42" s="29">
        <f t="shared" si="1"/>
        <v>-1.1303120609578166E-3</v>
      </c>
    </row>
    <row r="43" spans="2:7" s="21" customFormat="1" x14ac:dyDescent="0.25">
      <c r="B43" s="21" t="s">
        <v>21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22</v>
      </c>
      <c r="C44" s="5"/>
      <c r="D44" s="5"/>
      <c r="E44" s="47">
        <f t="shared" si="2"/>
        <v>41812.552000000003</v>
      </c>
      <c r="F44" s="45">
        <f>+Balantzea!$I$44</f>
        <v>41261.106</v>
      </c>
      <c r="G44" s="38">
        <f t="shared" si="1"/>
        <v>1.3364789591437498E-2</v>
      </c>
    </row>
    <row r="45" spans="2:7" x14ac:dyDescent="0.25">
      <c r="B45" s="21" t="s">
        <v>23</v>
      </c>
      <c r="C45" s="21"/>
      <c r="D45" s="21"/>
      <c r="E45" s="49">
        <f t="shared" si="2"/>
        <v>1685.9796654599998</v>
      </c>
      <c r="F45" s="46">
        <v>1710.9252973699997</v>
      </c>
      <c r="G45" s="41">
        <f t="shared" si="1"/>
        <v>-1.4580199350810896E-2</v>
      </c>
    </row>
    <row r="46" spans="2:7" x14ac:dyDescent="0.25">
      <c r="B46" s="54" t="s">
        <v>24</v>
      </c>
      <c r="C46" s="54"/>
      <c r="D46" s="54"/>
      <c r="E46" s="61">
        <f t="shared" si="2"/>
        <v>40126.572334540004</v>
      </c>
      <c r="F46" s="62">
        <f>+F44-F45</f>
        <v>39550.180702630001</v>
      </c>
      <c r="G46" s="63">
        <f t="shared" si="1"/>
        <v>1.4573678847229043E-2</v>
      </c>
    </row>
    <row r="47" spans="2:7" x14ac:dyDescent="0.25">
      <c r="B47" s="1" t="s">
        <v>25</v>
      </c>
      <c r="E47" s="48">
        <f t="shared" si="2"/>
        <v>19267.462245180002</v>
      </c>
      <c r="F47" s="28">
        <v>18989.316522659996</v>
      </c>
      <c r="G47" s="29">
        <f t="shared" si="1"/>
        <v>1.4647484662657195E-2</v>
      </c>
    </row>
    <row r="48" spans="2:7" x14ac:dyDescent="0.25">
      <c r="B48" s="5" t="s">
        <v>26</v>
      </c>
      <c r="C48" s="5"/>
      <c r="D48" s="5"/>
      <c r="E48" s="47">
        <f t="shared" si="2"/>
        <v>59394.034579720006</v>
      </c>
      <c r="F48" s="45">
        <f>+F46+F47</f>
        <v>58539.497225289997</v>
      </c>
      <c r="G48" s="38">
        <f t="shared" si="1"/>
        <v>1.4597620323613558E-2</v>
      </c>
    </row>
    <row r="49" spans="2:7" x14ac:dyDescent="0.25">
      <c r="B49" s="1" t="s">
        <v>27</v>
      </c>
      <c r="E49" s="48">
        <f t="shared" si="2"/>
        <v>102165.06757972001</v>
      </c>
      <c r="F49" s="28">
        <v>102287.55822529001</v>
      </c>
      <c r="G49" s="29">
        <f t="shared" si="1"/>
        <v>-1.1975126564289784E-3</v>
      </c>
    </row>
    <row r="50" spans="2:7" x14ac:dyDescent="0.25">
      <c r="B50" s="5" t="s">
        <v>28</v>
      </c>
      <c r="C50" s="5"/>
      <c r="D50" s="5"/>
      <c r="E50" s="47">
        <f t="shared" si="2"/>
        <v>5031.6080000000002</v>
      </c>
      <c r="F50" s="45">
        <f>+Balantzea!$I$53</f>
        <v>5079.3900000000003</v>
      </c>
      <c r="G50" s="38">
        <f t="shared" si="1"/>
        <v>-9.4070350967341287E-3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29</v>
      </c>
    </row>
    <row r="12" spans="2:7" ht="17.25" x14ac:dyDescent="0.3">
      <c r="B12" s="6" t="s">
        <v>10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</v>
      </c>
      <c r="F14" s="9" t="s">
        <v>15</v>
      </c>
      <c r="G14" s="9" t="s">
        <v>12</v>
      </c>
    </row>
    <row r="15" spans="2:7" x14ac:dyDescent="0.25">
      <c r="B15" s="1" t="s">
        <v>0</v>
      </c>
      <c r="E15" s="30">
        <v>6.0789746005920797E-2</v>
      </c>
      <c r="F15" s="31">
        <v>5.0558376321440009E-2</v>
      </c>
      <c r="G15" s="32" t="str">
        <f>IF(ISERROR($E15-F15),"-",CONCATENATE((FIXED($E15-F15,4)*10000)," op"))</f>
        <v>102 op</v>
      </c>
    </row>
    <row r="16" spans="2:7" x14ac:dyDescent="0.25">
      <c r="B16" s="1" t="s">
        <v>3</v>
      </c>
      <c r="E16" s="30">
        <v>6.5423025149388858E-2</v>
      </c>
      <c r="F16" s="31">
        <v>5.4394125957890949E-2</v>
      </c>
      <c r="G16" s="32" t="str">
        <f t="shared" ref="G16:G19" si="0">IF(ISERROR($E16-F16),"-",CONCATENATE((FIXED($E16-F16,4)*10000)," op"))</f>
        <v>110 op</v>
      </c>
    </row>
    <row r="17" spans="2:7" x14ac:dyDescent="0.25">
      <c r="B17" s="1" t="s">
        <v>1</v>
      </c>
      <c r="E17" s="30">
        <v>5.2974400960772491E-3</v>
      </c>
      <c r="F17" s="31">
        <v>4.2297990434052189E-3</v>
      </c>
      <c r="G17" s="32" t="str">
        <f t="shared" si="0"/>
        <v>11 op</v>
      </c>
    </row>
    <row r="18" spans="2:7" x14ac:dyDescent="0.25">
      <c r="B18" s="1" t="s">
        <v>2</v>
      </c>
      <c r="E18" s="30">
        <v>9.9242823827414058E-3</v>
      </c>
      <c r="F18" s="31">
        <v>7.9110556549896235E-3</v>
      </c>
      <c r="G18" s="32" t="str">
        <f t="shared" si="0"/>
        <v>20 op</v>
      </c>
    </row>
    <row r="19" spans="2:7" x14ac:dyDescent="0.25">
      <c r="B19" s="1" t="s">
        <v>30</v>
      </c>
      <c r="E19" s="30">
        <v>0.51182250029661369</v>
      </c>
      <c r="F19" s="31">
        <v>0.56079078400285265</v>
      </c>
      <c r="G19" s="32" t="str">
        <f t="shared" si="0"/>
        <v>-490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14</v>
      </c>
      <c r="F30" s="9" t="s">
        <v>32</v>
      </c>
      <c r="G30" s="9" t="s">
        <v>12</v>
      </c>
    </row>
    <row r="31" spans="2:7" x14ac:dyDescent="0.25">
      <c r="B31" s="1" t="s">
        <v>0</v>
      </c>
      <c r="E31" s="30">
        <f>+E15</f>
        <v>6.0789746005920797E-2</v>
      </c>
      <c r="F31" s="31">
        <v>5.7755654210747187E-2</v>
      </c>
      <c r="G31" s="32" t="str">
        <f>IF(ISERROR($E31-F31),"-",CONCATENATE((FIXED($E31-F31,4)*10000)," op"))</f>
        <v>30 op</v>
      </c>
    </row>
    <row r="32" spans="2:7" x14ac:dyDescent="0.25">
      <c r="B32" s="1" t="s">
        <v>3</v>
      </c>
      <c r="E32" s="30">
        <f t="shared" ref="E32:E35" si="1">+E16</f>
        <v>6.5423025149388858E-2</v>
      </c>
      <c r="F32" s="31">
        <v>6.2154715397274025E-2</v>
      </c>
      <c r="G32" s="32" t="str">
        <f t="shared" ref="G32:G35" si="2">IF(ISERROR($E32-F32),"-",CONCATENATE((FIXED($E32-F32,4)*10000)," op"))</f>
        <v>33 op</v>
      </c>
    </row>
    <row r="33" spans="2:7" x14ac:dyDescent="0.25">
      <c r="B33" s="1" t="s">
        <v>1</v>
      </c>
      <c r="E33" s="30">
        <f t="shared" si="1"/>
        <v>5.2974400960772491E-3</v>
      </c>
      <c r="F33" s="31">
        <v>4.9894925816226943E-3</v>
      </c>
      <c r="G33" s="32" t="str">
        <f t="shared" si="2"/>
        <v>3 op</v>
      </c>
    </row>
    <row r="34" spans="2:7" x14ac:dyDescent="0.25">
      <c r="B34" s="1" t="s">
        <v>2</v>
      </c>
      <c r="E34" s="30">
        <f t="shared" si="1"/>
        <v>9.9242823827414058E-3</v>
      </c>
      <c r="F34" s="31">
        <v>9.3341925855500267E-3</v>
      </c>
      <c r="G34" s="32" t="str">
        <f t="shared" si="2"/>
        <v>6 op</v>
      </c>
    </row>
    <row r="35" spans="2:7" x14ac:dyDescent="0.25">
      <c r="B35" s="1" t="s">
        <v>30</v>
      </c>
      <c r="E35" s="30">
        <f t="shared" si="1"/>
        <v>0.51182250029661369</v>
      </c>
      <c r="F35" s="31">
        <v>0.48158467688301154</v>
      </c>
      <c r="G35" s="32" t="str">
        <f t="shared" si="2"/>
        <v>302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37</v>
      </c>
    </row>
    <row r="12" spans="2:7" ht="17.25" x14ac:dyDescent="0.3">
      <c r="B12" s="6" t="s">
        <v>10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</v>
      </c>
      <c r="F14" s="9" t="s">
        <v>15</v>
      </c>
      <c r="G14" s="9" t="s">
        <v>12</v>
      </c>
    </row>
    <row r="15" spans="2:7" x14ac:dyDescent="0.25">
      <c r="B15" s="1" t="s">
        <v>33</v>
      </c>
      <c r="E15" s="30">
        <f>+Kaudimena!F26</f>
        <v>0.1570986353459955</v>
      </c>
      <c r="F15" s="31">
        <f>+Kaudimena!G26</f>
        <v>0.151970070929107</v>
      </c>
      <c r="G15" s="32" t="str">
        <f>IF(ISERROR($E15-F15),"-",CONCATENATE((FIXED($E15-F15,4)*10000)," op"))</f>
        <v>51 op</v>
      </c>
    </row>
    <row r="16" spans="2:7" x14ac:dyDescent="0.25">
      <c r="B16" s="1" t="s">
        <v>34</v>
      </c>
      <c r="E16" s="30">
        <f>+Kaudimena!F27</f>
        <v>0.1570986353459955</v>
      </c>
      <c r="F16" s="31">
        <f>+Kaudimena!G27</f>
        <v>0.151970070929107</v>
      </c>
      <c r="G16" s="32" t="str">
        <f t="shared" ref="G16:G23" si="0">IF(ISERROR($E16-F16),"-",CONCATENATE((FIXED($E16-F16,4)*10000)," op"))</f>
        <v>51 op</v>
      </c>
    </row>
    <row r="17" spans="2:7" x14ac:dyDescent="0.25">
      <c r="B17" s="1" t="s">
        <v>35</v>
      </c>
      <c r="E17" s="30">
        <f>+Kaudimena!F28</f>
        <v>0.1570986353459955</v>
      </c>
      <c r="F17" s="31">
        <f>+Kaudimena!G28</f>
        <v>0.151970070929107</v>
      </c>
      <c r="G17" s="32" t="str">
        <f t="shared" si="0"/>
        <v>51 op</v>
      </c>
    </row>
    <row r="18" spans="2:7" x14ac:dyDescent="0.25">
      <c r="B18" s="1" t="s">
        <v>36</v>
      </c>
      <c r="E18" s="30">
        <f>+Kaudimena!F29</f>
        <v>8.0731580261962754E-2</v>
      </c>
      <c r="F18" s="31">
        <f>+Kaudimena!G29</f>
        <v>8.0883195637725905E-2</v>
      </c>
      <c r="G18" s="32" t="str">
        <f t="shared" si="0"/>
        <v>-2 op</v>
      </c>
    </row>
    <row r="19" spans="2:7" s="21" customFormat="1" x14ac:dyDescent="0.25">
      <c r="B19" s="21" t="s">
        <v>7</v>
      </c>
      <c r="E19" s="57">
        <f>+Kaudimena!F31</f>
        <v>0.15320943844257678</v>
      </c>
      <c r="F19" s="58">
        <f>+Kaudimena!G31</f>
        <v>0.14843495096854686</v>
      </c>
      <c r="G19" s="32" t="str">
        <f t="shared" si="0"/>
        <v>48 op</v>
      </c>
    </row>
    <row r="20" spans="2:7" s="21" customFormat="1" x14ac:dyDescent="0.25">
      <c r="B20" s="21" t="s">
        <v>148</v>
      </c>
      <c r="E20" s="57">
        <f>+Kaudimena!F33</f>
        <v>7.9095294773285016E-2</v>
      </c>
      <c r="F20" s="58">
        <f>+Kaudimena!G33</f>
        <v>7.9698663620372395E-2</v>
      </c>
      <c r="G20" s="32" t="str">
        <f t="shared" si="0"/>
        <v>-6 op</v>
      </c>
    </row>
    <row r="21" spans="2:7" x14ac:dyDescent="0.25">
      <c r="B21" s="1" t="s">
        <v>4</v>
      </c>
      <c r="E21" s="30">
        <v>2.0469754459502956</v>
      </c>
      <c r="F21" s="31">
        <v>1.5632080509878554</v>
      </c>
      <c r="G21" s="32" t="str">
        <f t="shared" si="0"/>
        <v>4838 op</v>
      </c>
    </row>
    <row r="22" spans="2:7" x14ac:dyDescent="0.25">
      <c r="B22" s="1" t="s">
        <v>5</v>
      </c>
      <c r="E22" s="78">
        <v>1.2220191045048103</v>
      </c>
      <c r="F22" s="31">
        <v>1.1571640214304229</v>
      </c>
      <c r="G22" s="32" t="str">
        <f t="shared" si="0"/>
        <v>649 op</v>
      </c>
    </row>
    <row r="23" spans="2:7" x14ac:dyDescent="0.25">
      <c r="B23" s="1" t="s">
        <v>8</v>
      </c>
      <c r="E23" s="30">
        <v>1.040416981831928</v>
      </c>
      <c r="F23" s="31">
        <v>1.0863565106342519</v>
      </c>
      <c r="G23" s="32" t="str">
        <f t="shared" si="0"/>
        <v>-459 op</v>
      </c>
    </row>
    <row r="29" spans="2:7" ht="17.25" x14ac:dyDescent="0.3">
      <c r="B29" s="6" t="s">
        <v>31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14</v>
      </c>
      <c r="F31" s="9" t="s">
        <v>32</v>
      </c>
      <c r="G31" s="9" t="s">
        <v>12</v>
      </c>
    </row>
    <row r="32" spans="2:7" x14ac:dyDescent="0.25">
      <c r="B32" s="1" t="s">
        <v>33</v>
      </c>
      <c r="E32" s="30">
        <f t="shared" ref="E32:E40" si="1">+E15</f>
        <v>0.1570986353459955</v>
      </c>
      <c r="F32" s="31">
        <f>+Kaudimena!G54</f>
        <v>0.15243595304367932</v>
      </c>
      <c r="G32" s="32" t="str">
        <f>IF(ISERROR($E32-F32),"-",CONCATENATE((FIXED($E32-F32,4)*10000)," op"))</f>
        <v>47 op</v>
      </c>
    </row>
    <row r="33" spans="2:7" x14ac:dyDescent="0.25">
      <c r="B33" s="1" t="s">
        <v>34</v>
      </c>
      <c r="E33" s="30">
        <f t="shared" si="1"/>
        <v>0.1570986353459955</v>
      </c>
      <c r="F33" s="31">
        <f>+Kaudimena!G55</f>
        <v>0.15243595304367932</v>
      </c>
      <c r="G33" s="32" t="str">
        <f t="shared" ref="G33:G40" si="2">IF(ISERROR($E33-F33),"-",CONCATENATE((FIXED($E33-F33,4)*10000)," op"))</f>
        <v>47 op</v>
      </c>
    </row>
    <row r="34" spans="2:7" x14ac:dyDescent="0.25">
      <c r="B34" s="1" t="s">
        <v>35</v>
      </c>
      <c r="E34" s="30">
        <f t="shared" si="1"/>
        <v>0.1570986353459955</v>
      </c>
      <c r="F34" s="31">
        <f>+Kaudimena!G56</f>
        <v>0.15243595304367932</v>
      </c>
      <c r="G34" s="32" t="str">
        <f t="shared" si="2"/>
        <v>47 op</v>
      </c>
    </row>
    <row r="35" spans="2:7" s="21" customFormat="1" x14ac:dyDescent="0.25">
      <c r="B35" s="1" t="s">
        <v>36</v>
      </c>
      <c r="C35" s="1"/>
      <c r="D35" s="1"/>
      <c r="E35" s="30">
        <f t="shared" si="1"/>
        <v>8.0731580261962754E-2</v>
      </c>
      <c r="F35" s="31">
        <f>+Kaudimena!G57</f>
        <v>8.059088281366085E-2</v>
      </c>
      <c r="G35" s="32" t="str">
        <f t="shared" si="2"/>
        <v>1 op</v>
      </c>
    </row>
    <row r="36" spans="2:7" s="21" customFormat="1" x14ac:dyDescent="0.25">
      <c r="B36" s="21" t="s">
        <v>7</v>
      </c>
      <c r="E36" s="57">
        <f t="shared" si="1"/>
        <v>0.15320943844257678</v>
      </c>
      <c r="F36" s="58">
        <f>+Kaudimena!G59</f>
        <v>0.1486974203180918</v>
      </c>
      <c r="G36" s="32" t="str">
        <f t="shared" si="2"/>
        <v>45 op</v>
      </c>
    </row>
    <row r="37" spans="2:7" x14ac:dyDescent="0.25">
      <c r="B37" s="21" t="s">
        <v>148</v>
      </c>
      <c r="C37" s="21"/>
      <c r="D37" s="21"/>
      <c r="E37" s="57">
        <f t="shared" si="1"/>
        <v>7.9095294773285016E-2</v>
      </c>
      <c r="F37" s="58">
        <f>+Kaudimena!G61</f>
        <v>7.8980304768099807E-2</v>
      </c>
      <c r="G37" s="32" t="str">
        <f t="shared" si="2"/>
        <v>1 op</v>
      </c>
    </row>
    <row r="38" spans="2:7" x14ac:dyDescent="0.25">
      <c r="B38" s="1" t="s">
        <v>4</v>
      </c>
      <c r="E38" s="30">
        <f t="shared" si="1"/>
        <v>2.0469754459502956</v>
      </c>
      <c r="F38" s="31">
        <v>1.6385379170732357</v>
      </c>
      <c r="G38" s="32" t="str">
        <f t="shared" si="2"/>
        <v>4084 op</v>
      </c>
    </row>
    <row r="39" spans="2:7" x14ac:dyDescent="0.25">
      <c r="B39" s="1" t="s">
        <v>5</v>
      </c>
      <c r="E39" s="30">
        <f t="shared" si="1"/>
        <v>1.2220191045048103</v>
      </c>
      <c r="F39" s="31">
        <v>1.1869283723147415</v>
      </c>
      <c r="G39" s="32" t="str">
        <f t="shared" si="2"/>
        <v>351 op</v>
      </c>
    </row>
    <row r="40" spans="2:7" x14ac:dyDescent="0.25">
      <c r="B40" s="1" t="s">
        <v>8</v>
      </c>
      <c r="E40" s="30">
        <f t="shared" si="1"/>
        <v>1.040416981831928</v>
      </c>
      <c r="F40" s="31">
        <v>1.0746669729756841</v>
      </c>
      <c r="G40" s="32" t="str">
        <f t="shared" si="2"/>
        <v>-342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38</v>
      </c>
    </row>
    <row r="12" spans="2:9" ht="17.25" x14ac:dyDescent="0.3">
      <c r="B12" s="6" t="s">
        <v>10</v>
      </c>
      <c r="F12" s="4"/>
    </row>
    <row r="13" spans="2:9" x14ac:dyDescent="0.25">
      <c r="B13" s="74" t="s">
        <v>39</v>
      </c>
      <c r="F13" s="4"/>
    </row>
    <row r="14" spans="2:9" x14ac:dyDescent="0.25">
      <c r="B14" s="7"/>
      <c r="C14" s="7"/>
      <c r="D14" s="7"/>
      <c r="E14" s="8" t="s">
        <v>14</v>
      </c>
      <c r="F14" s="9" t="s">
        <v>15</v>
      </c>
      <c r="G14" s="9" t="s">
        <v>12</v>
      </c>
    </row>
    <row r="15" spans="2:9" x14ac:dyDescent="0.25">
      <c r="B15" s="1" t="s">
        <v>40</v>
      </c>
      <c r="E15" s="33">
        <v>5651</v>
      </c>
      <c r="F15" s="34">
        <v>5931</v>
      </c>
      <c r="G15" s="35">
        <f>IF(ISERROR($E15/F15),"-",$E15/F15-1)</f>
        <v>-4.7209576799865149E-2</v>
      </c>
      <c r="H15" s="12"/>
      <c r="I15" s="12"/>
    </row>
    <row r="16" spans="2:9" x14ac:dyDescent="0.25">
      <c r="B16" s="1" t="s">
        <v>41</v>
      </c>
      <c r="E16" s="33">
        <v>931</v>
      </c>
      <c r="F16" s="34">
        <v>958</v>
      </c>
      <c r="G16" s="35">
        <f t="shared" ref="G16:G20" si="0">IF(ISERROR($E16/F16),"-",$E16/F16-1)</f>
        <v>-2.8183716075156573E-2</v>
      </c>
      <c r="H16" s="12"/>
      <c r="I16" s="12"/>
    </row>
    <row r="17" spans="2:9" x14ac:dyDescent="0.25">
      <c r="B17" s="1" t="s">
        <v>42</v>
      </c>
      <c r="E17" s="33">
        <v>2578754</v>
      </c>
      <c r="F17" s="34">
        <v>2676588</v>
      </c>
      <c r="G17" s="35">
        <f t="shared" si="0"/>
        <v>-3.6551759179970889E-2</v>
      </c>
      <c r="H17" s="12"/>
      <c r="I17" s="12"/>
    </row>
    <row r="18" spans="2:9" x14ac:dyDescent="0.25">
      <c r="B18" s="1" t="s">
        <v>43</v>
      </c>
      <c r="E18" s="33">
        <v>2431169</v>
      </c>
      <c r="F18" s="34">
        <v>2524219</v>
      </c>
      <c r="G18" s="35">
        <f t="shared" si="0"/>
        <v>-3.6862887094978647E-2</v>
      </c>
      <c r="H18" s="12"/>
      <c r="I18" s="12"/>
    </row>
    <row r="19" spans="2:9" x14ac:dyDescent="0.25">
      <c r="B19" s="1" t="s">
        <v>44</v>
      </c>
      <c r="E19" s="33">
        <v>147585</v>
      </c>
      <c r="F19" s="34">
        <v>152369</v>
      </c>
      <c r="G19" s="35">
        <f t="shared" si="0"/>
        <v>-3.1397462738483539E-2</v>
      </c>
      <c r="H19" s="12"/>
      <c r="I19" s="12"/>
    </row>
    <row r="20" spans="2:9" x14ac:dyDescent="0.25">
      <c r="B20" s="1" t="s">
        <v>45</v>
      </c>
      <c r="E20" s="33">
        <v>1969</v>
      </c>
      <c r="F20" s="34">
        <v>1994</v>
      </c>
      <c r="G20" s="35">
        <f t="shared" si="0"/>
        <v>-1.2537612838515511E-2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31</v>
      </c>
      <c r="F28" s="4"/>
      <c r="H28" s="12"/>
      <c r="I28" s="12"/>
    </row>
    <row r="29" spans="2:9" x14ac:dyDescent="0.25">
      <c r="B29" s="74" t="s">
        <v>39</v>
      </c>
      <c r="F29" s="4"/>
      <c r="H29" s="12"/>
      <c r="I29" s="12"/>
    </row>
    <row r="30" spans="2:9" x14ac:dyDescent="0.25">
      <c r="B30" s="7"/>
      <c r="C30" s="7"/>
      <c r="D30" s="7"/>
      <c r="E30" s="8" t="s">
        <v>14</v>
      </c>
      <c r="F30" s="9" t="s">
        <v>32</v>
      </c>
      <c r="G30" s="9" t="s">
        <v>12</v>
      </c>
      <c r="H30" s="12"/>
      <c r="I30" s="12"/>
    </row>
    <row r="31" spans="2:9" x14ac:dyDescent="0.25">
      <c r="B31" s="1" t="s">
        <v>40</v>
      </c>
      <c r="E31" s="33">
        <f>+E15</f>
        <v>5651</v>
      </c>
      <c r="F31" s="34">
        <v>5652</v>
      </c>
      <c r="G31" s="35">
        <f>IF(ISERROR($E31/F31),"-",$E31/F31-1)</f>
        <v>-1.7692852087758393E-4</v>
      </c>
      <c r="H31" s="12"/>
      <c r="I31" s="12"/>
    </row>
    <row r="32" spans="2:9" x14ac:dyDescent="0.25">
      <c r="B32" s="1" t="s">
        <v>41</v>
      </c>
      <c r="E32" s="33">
        <f t="shared" ref="E32:E36" si="1">+E16</f>
        <v>931</v>
      </c>
      <c r="F32" s="34">
        <v>931</v>
      </c>
      <c r="G32" s="35">
        <f t="shared" ref="G32:G36" si="2">IF(ISERROR($E32/F32),"-",$E32/F32-1)</f>
        <v>0</v>
      </c>
      <c r="H32" s="12"/>
      <c r="I32" s="12"/>
    </row>
    <row r="33" spans="2:9" x14ac:dyDescent="0.25">
      <c r="B33" s="1" t="s">
        <v>42</v>
      </c>
      <c r="E33" s="33">
        <f t="shared" si="1"/>
        <v>2578754</v>
      </c>
      <c r="F33" s="34">
        <v>2595956</v>
      </c>
      <c r="G33" s="35">
        <f t="shared" si="2"/>
        <v>-6.6264605409336319E-3</v>
      </c>
      <c r="H33" s="12"/>
      <c r="I33" s="12"/>
    </row>
    <row r="34" spans="2:9" x14ac:dyDescent="0.25">
      <c r="B34" s="1" t="s">
        <v>43</v>
      </c>
      <c r="E34" s="33">
        <f t="shared" si="1"/>
        <v>2431169</v>
      </c>
      <c r="F34" s="34">
        <v>2447264</v>
      </c>
      <c r="G34" s="35">
        <f t="shared" si="2"/>
        <v>-6.5767322201446543E-3</v>
      </c>
      <c r="H34" s="12"/>
      <c r="I34" s="12"/>
    </row>
    <row r="35" spans="2:9" x14ac:dyDescent="0.25">
      <c r="B35" s="1" t="s">
        <v>44</v>
      </c>
      <c r="E35" s="33">
        <f t="shared" si="1"/>
        <v>147585</v>
      </c>
      <c r="F35" s="34">
        <v>148692</v>
      </c>
      <c r="G35" s="35">
        <f t="shared" si="2"/>
        <v>-7.4449196997821154E-3</v>
      </c>
      <c r="H35" s="12"/>
      <c r="I35" s="12"/>
    </row>
    <row r="36" spans="2:9" x14ac:dyDescent="0.25">
      <c r="B36" s="1" t="s">
        <v>45</v>
      </c>
      <c r="E36" s="33">
        <f t="shared" si="1"/>
        <v>1969</v>
      </c>
      <c r="F36" s="34">
        <v>1977</v>
      </c>
      <c r="G36" s="35">
        <f t="shared" si="2"/>
        <v>-4.0465351542741113E-3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46</v>
      </c>
    </row>
    <row r="10" spans="2:10" x14ac:dyDescent="0.25">
      <c r="B10" s="73" t="s">
        <v>11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14</v>
      </c>
      <c r="I14" s="9" t="s">
        <v>15</v>
      </c>
      <c r="J14" s="9" t="s">
        <v>12</v>
      </c>
    </row>
    <row r="15" spans="2:10" x14ac:dyDescent="0.25">
      <c r="B15" s="5" t="s">
        <v>47</v>
      </c>
      <c r="C15" s="5"/>
      <c r="D15" s="5"/>
      <c r="E15" s="5"/>
      <c r="F15" s="5"/>
      <c r="G15" s="5"/>
      <c r="H15" s="17">
        <v>558.73199999999997</v>
      </c>
      <c r="I15" s="37">
        <v>557.99800000000005</v>
      </c>
      <c r="J15" s="38">
        <f>IF(ISERROR($H15/I15),"-",$H15/I15-1)</f>
        <v>1.3154169011357908E-3</v>
      </c>
    </row>
    <row r="16" spans="2:10" x14ac:dyDescent="0.25">
      <c r="B16" s="1" t="s">
        <v>48</v>
      </c>
      <c r="H16" s="20">
        <v>49.680999999999997</v>
      </c>
      <c r="I16" s="25">
        <v>94.778999999999996</v>
      </c>
      <c r="J16" s="35">
        <f t="shared" ref="J16:J40" si="0">IF(ISERROR($H16/I16),"-",$H16/I16-1)</f>
        <v>-0.47582270334145749</v>
      </c>
    </row>
    <row r="17" spans="2:11" x14ac:dyDescent="0.25">
      <c r="B17" s="1" t="s">
        <v>49</v>
      </c>
      <c r="H17" s="20">
        <v>17.555</v>
      </c>
      <c r="I17" s="25">
        <v>43.838000000000001</v>
      </c>
      <c r="J17" s="35">
        <f t="shared" si="0"/>
        <v>-0.59954833705917243</v>
      </c>
    </row>
    <row r="18" spans="2:11" x14ac:dyDescent="0.25">
      <c r="B18" s="5" t="s">
        <v>50</v>
      </c>
      <c r="C18" s="5"/>
      <c r="D18" s="5"/>
      <c r="E18" s="5"/>
      <c r="F18" s="5"/>
      <c r="G18" s="5"/>
      <c r="H18" s="17">
        <v>379.56200000000001</v>
      </c>
      <c r="I18" s="37">
        <v>343.82499999999999</v>
      </c>
      <c r="J18" s="38">
        <f t="shared" si="0"/>
        <v>0.10393950410819475</v>
      </c>
    </row>
    <row r="19" spans="2:11" x14ac:dyDescent="0.25">
      <c r="B19" s="1" t="s">
        <v>51</v>
      </c>
      <c r="H19" s="20">
        <v>273.65300000000002</v>
      </c>
      <c r="I19" s="25">
        <v>167.06899999999999</v>
      </c>
      <c r="J19" s="29" t="s">
        <v>74</v>
      </c>
    </row>
    <row r="20" spans="2:11" x14ac:dyDescent="0.25">
      <c r="B20" s="1" t="s">
        <v>52</v>
      </c>
      <c r="H20" s="20">
        <v>2.5379999999999998</v>
      </c>
      <c r="I20" s="25">
        <v>3.7050000000000001</v>
      </c>
      <c r="J20" s="35">
        <f t="shared" si="0"/>
        <v>-0.31497975708502035</v>
      </c>
    </row>
    <row r="21" spans="2:11" x14ac:dyDescent="0.25">
      <c r="B21" t="s">
        <v>53</v>
      </c>
      <c r="H21" s="20">
        <v>49.976999999999997</v>
      </c>
      <c r="I21" s="25">
        <v>45.21</v>
      </c>
      <c r="J21" s="35">
        <f t="shared" si="0"/>
        <v>0.10544127405441261</v>
      </c>
    </row>
    <row r="22" spans="2:11" ht="17.25" x14ac:dyDescent="0.3">
      <c r="B22" s="6" t="s">
        <v>54</v>
      </c>
      <c r="C22" s="6"/>
      <c r="D22" s="6"/>
      <c r="E22" s="6"/>
      <c r="F22" s="6"/>
      <c r="G22" s="6"/>
      <c r="H22" s="18">
        <f>SUM(H15:H21)</f>
        <v>1331.6980000000001</v>
      </c>
      <c r="I22" s="27">
        <f>SUM(I15:I21)</f>
        <v>1256.424</v>
      </c>
      <c r="J22" s="39">
        <f t="shared" si="0"/>
        <v>5.9911303827370421E-2</v>
      </c>
      <c r="K22" s="12"/>
    </row>
    <row r="23" spans="2:11" x14ac:dyDescent="0.25">
      <c r="B23" s="19" t="s">
        <v>55</v>
      </c>
      <c r="C23" s="19"/>
      <c r="D23" s="19"/>
      <c r="E23" s="19"/>
      <c r="F23" s="19"/>
      <c r="G23" s="19"/>
      <c r="H23" s="20">
        <f>+H24+H25</f>
        <v>626.596</v>
      </c>
      <c r="I23" s="25">
        <f>+I24+I25</f>
        <v>648.505</v>
      </c>
      <c r="J23" s="35">
        <f t="shared" si="0"/>
        <v>-3.3783856716602001E-2</v>
      </c>
    </row>
    <row r="24" spans="2:11" s="21" customFormat="1" x14ac:dyDescent="0.25">
      <c r="B24" s="21" t="s">
        <v>56</v>
      </c>
      <c r="H24" s="22">
        <v>434.39299999999997</v>
      </c>
      <c r="I24" s="23">
        <v>452.86599999999999</v>
      </c>
      <c r="J24" s="35">
        <f t="shared" si="0"/>
        <v>-4.0791315753445856E-2</v>
      </c>
    </row>
    <row r="25" spans="2:11" s="21" customFormat="1" x14ac:dyDescent="0.25">
      <c r="B25" s="21" t="s">
        <v>57</v>
      </c>
      <c r="H25" s="22">
        <v>192.203</v>
      </c>
      <c r="I25" s="23">
        <v>195.63900000000001</v>
      </c>
      <c r="J25" s="35">
        <f t="shared" si="0"/>
        <v>-1.7562960350441359E-2</v>
      </c>
    </row>
    <row r="26" spans="2:11" x14ac:dyDescent="0.25">
      <c r="B26" s="1" t="s">
        <v>58</v>
      </c>
      <c r="H26" s="20">
        <v>54.997</v>
      </c>
      <c r="I26" s="25">
        <v>56.085999999999999</v>
      </c>
      <c r="J26" s="35">
        <f t="shared" si="0"/>
        <v>-1.9416610205755469E-2</v>
      </c>
    </row>
    <row r="27" spans="2:11" ht="17.25" x14ac:dyDescent="0.3">
      <c r="B27" s="6" t="s">
        <v>59</v>
      </c>
      <c r="C27" s="6"/>
      <c r="D27" s="6"/>
      <c r="E27" s="6"/>
      <c r="F27" s="6"/>
      <c r="G27" s="6"/>
      <c r="H27" s="18">
        <f>+H22-H23-H26</f>
        <v>650.10500000000013</v>
      </c>
      <c r="I27" s="27">
        <f>+I22-I23-I26</f>
        <v>551.83299999999997</v>
      </c>
      <c r="J27" s="39">
        <f t="shared" si="0"/>
        <v>0.178082862025287</v>
      </c>
    </row>
    <row r="28" spans="2:11" x14ac:dyDescent="0.25">
      <c r="B28" s="1" t="s">
        <v>60</v>
      </c>
      <c r="H28" s="20">
        <v>138.24799999999999</v>
      </c>
      <c r="I28" s="25">
        <v>117.58499999999999</v>
      </c>
      <c r="J28" s="35">
        <f t="shared" si="0"/>
        <v>0.17572819662371897</v>
      </c>
    </row>
    <row r="29" spans="2:11" x14ac:dyDescent="0.25">
      <c r="B29" s="1" t="s">
        <v>61</v>
      </c>
      <c r="H29" s="20">
        <f>+H30+H31</f>
        <v>86.262</v>
      </c>
      <c r="I29" s="25">
        <f>+I30+I31</f>
        <v>89.363</v>
      </c>
      <c r="J29" s="35">
        <f t="shared" si="0"/>
        <v>-3.4701162673589692E-2</v>
      </c>
    </row>
    <row r="30" spans="2:11" s="21" customFormat="1" x14ac:dyDescent="0.25">
      <c r="B30" s="21" t="s">
        <v>62</v>
      </c>
      <c r="H30" s="22">
        <v>28.411999999999999</v>
      </c>
      <c r="I30" s="23">
        <v>49.932000000000002</v>
      </c>
      <c r="J30" s="35">
        <f t="shared" si="0"/>
        <v>-0.43098614115196676</v>
      </c>
    </row>
    <row r="31" spans="2:11" s="21" customFormat="1" x14ac:dyDescent="0.25">
      <c r="B31" s="21" t="s">
        <v>63</v>
      </c>
      <c r="H31" s="22">
        <v>57.85</v>
      </c>
      <c r="I31" s="23">
        <v>39.430999999999997</v>
      </c>
      <c r="J31" s="29" t="s">
        <v>74</v>
      </c>
    </row>
    <row r="32" spans="2:11" x14ac:dyDescent="0.25">
      <c r="B32" s="5" t="s">
        <v>64</v>
      </c>
      <c r="C32" s="5"/>
      <c r="D32" s="5"/>
      <c r="E32" s="5"/>
      <c r="F32" s="5"/>
      <c r="G32" s="5"/>
      <c r="H32" s="17">
        <f>+H27-H28-H29</f>
        <v>425.59500000000014</v>
      </c>
      <c r="I32" s="37">
        <f>+I27-I28-I29</f>
        <v>344.88499999999999</v>
      </c>
      <c r="J32" s="75">
        <f t="shared" si="0"/>
        <v>0.23402003566406226</v>
      </c>
    </row>
    <row r="33" spans="2:10" x14ac:dyDescent="0.25">
      <c r="B33" s="1" t="s">
        <v>65</v>
      </c>
      <c r="H33" s="20">
        <v>4.1230000000000002</v>
      </c>
      <c r="I33" s="25">
        <v>0.68700000000000006</v>
      </c>
      <c r="J33" s="35">
        <f t="shared" si="0"/>
        <v>5.0014556040756917</v>
      </c>
    </row>
    <row r="34" spans="2:10" x14ac:dyDescent="0.25">
      <c r="B34" s="1" t="s">
        <v>67</v>
      </c>
      <c r="H34" s="20">
        <v>44.564999999999998</v>
      </c>
      <c r="I34" s="25">
        <v>14.946</v>
      </c>
      <c r="J34" s="29" t="s">
        <v>74</v>
      </c>
    </row>
    <row r="35" spans="2:10" x14ac:dyDescent="0.25">
      <c r="B35" s="1" t="s">
        <v>66</v>
      </c>
      <c r="H35" s="20">
        <v>36.704000000000001</v>
      </c>
      <c r="I35" s="25">
        <v>25.475999999999999</v>
      </c>
      <c r="J35" s="35">
        <f t="shared" si="0"/>
        <v>0.44072852881143043</v>
      </c>
    </row>
    <row r="36" spans="2:10" x14ac:dyDescent="0.25">
      <c r="B36" s="1" t="s">
        <v>68</v>
      </c>
      <c r="H36" s="20">
        <v>-131.74199999999999</v>
      </c>
      <c r="I36" s="25">
        <v>-40.999000000000002</v>
      </c>
      <c r="J36" s="29" t="s">
        <v>74</v>
      </c>
    </row>
    <row r="37" spans="2:10" ht="17.25" x14ac:dyDescent="0.3">
      <c r="B37" s="6" t="s">
        <v>69</v>
      </c>
      <c r="C37" s="6"/>
      <c r="D37" s="6"/>
      <c r="E37" s="6"/>
      <c r="F37" s="6"/>
      <c r="G37" s="6"/>
      <c r="H37" s="18">
        <f>+H32-H33-H34+H35+H36</f>
        <v>281.86900000000014</v>
      </c>
      <c r="I37" s="27">
        <f>+I32-I33-I34+I35+I36</f>
        <v>313.72899999999993</v>
      </c>
      <c r="J37" s="39">
        <f t="shared" si="0"/>
        <v>-0.10155261388013159</v>
      </c>
    </row>
    <row r="38" spans="2:10" x14ac:dyDescent="0.25">
      <c r="B38" s="1" t="s">
        <v>70</v>
      </c>
      <c r="H38" s="20">
        <v>-21.361999999999998</v>
      </c>
      <c r="I38" s="25">
        <v>68.802999999999997</v>
      </c>
      <c r="J38" s="29" t="s">
        <v>74</v>
      </c>
    </row>
    <row r="39" spans="2:10" x14ac:dyDescent="0.25">
      <c r="B39" s="5" t="s">
        <v>71</v>
      </c>
      <c r="C39" s="5"/>
      <c r="D39" s="5"/>
      <c r="E39" s="5"/>
      <c r="F39" s="5"/>
      <c r="G39" s="5"/>
      <c r="H39" s="17">
        <v>303.23099999999999</v>
      </c>
      <c r="I39" s="37">
        <v>244.92599999999999</v>
      </c>
      <c r="J39" s="35">
        <f t="shared" si="0"/>
        <v>0.23805149310403961</v>
      </c>
    </row>
    <row r="40" spans="2:10" x14ac:dyDescent="0.25">
      <c r="B40" s="1" t="s">
        <v>72</v>
      </c>
      <c r="H40" s="10">
        <v>1.2769999999999999</v>
      </c>
      <c r="I40" s="11">
        <v>0.67800000000000005</v>
      </c>
      <c r="J40" s="35">
        <f t="shared" si="0"/>
        <v>0.8834808259587017</v>
      </c>
    </row>
    <row r="41" spans="2:10" s="24" customFormat="1" ht="17.25" x14ac:dyDescent="0.3">
      <c r="B41" s="6" t="s">
        <v>73</v>
      </c>
      <c r="C41" s="6"/>
      <c r="D41" s="6"/>
      <c r="E41" s="6"/>
      <c r="F41" s="6"/>
      <c r="G41" s="6"/>
      <c r="H41" s="18">
        <v>301.95400000000001</v>
      </c>
      <c r="I41" s="27">
        <v>244.24799999999999</v>
      </c>
      <c r="J41" s="39">
        <f>IF(ISERROR($H41/I41),"-",$H41/I41-1)</f>
        <v>0.23625986702040547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75</v>
      </c>
    </row>
    <row r="10" spans="2:11" x14ac:dyDescent="0.25">
      <c r="B10" s="73" t="s">
        <v>11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14</v>
      </c>
      <c r="G14" s="9" t="s">
        <v>15</v>
      </c>
      <c r="H14" s="9" t="s">
        <v>12</v>
      </c>
      <c r="I14" s="9" t="s">
        <v>32</v>
      </c>
      <c r="J14" s="9" t="s">
        <v>12</v>
      </c>
    </row>
    <row r="15" spans="2:11" s="19" customFormat="1" x14ac:dyDescent="0.25">
      <c r="B15" s="19" t="s">
        <v>76</v>
      </c>
      <c r="F15" s="20">
        <v>4407.6379999999999</v>
      </c>
      <c r="G15" s="25">
        <v>1481.508</v>
      </c>
      <c r="H15" s="35">
        <f>IF(ISERROR($F15/G15),"-",$F15/G15-1)</f>
        <v>1.9751023956671174</v>
      </c>
      <c r="I15" s="25">
        <v>3167.45</v>
      </c>
      <c r="J15" s="35">
        <f>IF(ISERROR($F15/I15),"-",$F15/I15-1)</f>
        <v>0.39154146079653995</v>
      </c>
      <c r="K15" s="25"/>
    </row>
    <row r="16" spans="2:11" s="19" customFormat="1" x14ac:dyDescent="0.25">
      <c r="B16" s="19" t="s">
        <v>77</v>
      </c>
      <c r="F16" s="20">
        <f>+F17+F18+F19</f>
        <v>83.77</v>
      </c>
      <c r="G16" s="25">
        <f>+G17+G18+G19</f>
        <v>142.345</v>
      </c>
      <c r="H16" s="35">
        <f t="shared" ref="H16:H57" si="0">IF(ISERROR($F16/G16),"-",$F16/G16-1)</f>
        <v>-0.41150022831852195</v>
      </c>
      <c r="I16" s="25">
        <f>+I17+I18+I19</f>
        <v>91.137</v>
      </c>
      <c r="J16" s="35">
        <f t="shared" ref="J16:J57" si="1">IF(ISERROR($F16/I16),"-",$F16/I16-1)</f>
        <v>-8.0834348288839952E-2</v>
      </c>
      <c r="K16" s="25"/>
    </row>
    <row r="17" spans="2:11" s="21" customFormat="1" x14ac:dyDescent="0.25">
      <c r="B17" s="21" t="s">
        <v>78</v>
      </c>
      <c r="F17" s="22">
        <v>83.77</v>
      </c>
      <c r="G17" s="23">
        <v>142.345</v>
      </c>
      <c r="H17" s="41">
        <f t="shared" si="0"/>
        <v>-0.41150022831852195</v>
      </c>
      <c r="I17" s="23">
        <v>90.141999999999996</v>
      </c>
      <c r="J17" s="41">
        <f t="shared" si="1"/>
        <v>-7.0688469303987089E-2</v>
      </c>
      <c r="K17" s="23"/>
    </row>
    <row r="18" spans="2:11" s="21" customFormat="1" x14ac:dyDescent="0.25">
      <c r="B18" s="21" t="s">
        <v>79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80</v>
      </c>
      <c r="F19" s="22">
        <v>0</v>
      </c>
      <c r="G19" s="23">
        <v>0</v>
      </c>
      <c r="H19" s="41" t="str">
        <f t="shared" si="0"/>
        <v>-</v>
      </c>
      <c r="I19" s="23">
        <v>0.995</v>
      </c>
      <c r="J19" s="41">
        <f t="shared" si="1"/>
        <v>-1</v>
      </c>
      <c r="K19" s="23"/>
    </row>
    <row r="20" spans="2:11" s="19" customFormat="1" x14ac:dyDescent="0.25">
      <c r="B20" s="19" t="s">
        <v>81</v>
      </c>
      <c r="F20" s="20">
        <f>+F21+F22</f>
        <v>35.238999999999997</v>
      </c>
      <c r="G20" s="25">
        <f>+G21+G22</f>
        <v>34.994</v>
      </c>
      <c r="H20" s="35">
        <f t="shared" si="0"/>
        <v>7.0012002057495692E-3</v>
      </c>
      <c r="I20" s="25">
        <f>+I21+I22</f>
        <v>34.468000000000004</v>
      </c>
      <c r="J20" s="35">
        <f t="shared" si="1"/>
        <v>2.2368573749564691E-2</v>
      </c>
      <c r="K20" s="25"/>
    </row>
    <row r="21" spans="2:11" s="19" customFormat="1" x14ac:dyDescent="0.25">
      <c r="B21" s="21" t="s">
        <v>79</v>
      </c>
      <c r="C21" s="21"/>
      <c r="D21" s="21"/>
      <c r="E21" s="21"/>
      <c r="F21" s="22">
        <v>6.1029999999999998</v>
      </c>
      <c r="G21" s="23">
        <v>6.2489999999999997</v>
      </c>
      <c r="H21" s="41">
        <f t="shared" si="0"/>
        <v>-2.3363738198111661E-2</v>
      </c>
      <c r="I21" s="23">
        <v>6.0460000000000003</v>
      </c>
      <c r="J21" s="41">
        <f t="shared" si="1"/>
        <v>9.4277208071451568E-3</v>
      </c>
      <c r="K21" s="23"/>
    </row>
    <row r="22" spans="2:11" s="19" customFormat="1" x14ac:dyDescent="0.25">
      <c r="B22" s="21" t="s">
        <v>80</v>
      </c>
      <c r="C22" s="21"/>
      <c r="D22" s="21"/>
      <c r="E22" s="21"/>
      <c r="F22" s="22">
        <v>29.135999999999999</v>
      </c>
      <c r="G22" s="23">
        <v>28.745000000000001</v>
      </c>
      <c r="H22" s="41">
        <f t="shared" si="0"/>
        <v>1.3602365628804902E-2</v>
      </c>
      <c r="I22" s="23">
        <v>28.422000000000001</v>
      </c>
      <c r="J22" s="41">
        <f t="shared" si="1"/>
        <v>2.5121384842727412E-2</v>
      </c>
      <c r="K22" s="23"/>
    </row>
    <row r="23" spans="2:11" s="19" customFormat="1" x14ac:dyDescent="0.25">
      <c r="B23" s="19" t="s">
        <v>82</v>
      </c>
      <c r="F23" s="20">
        <f>+F24+F25</f>
        <v>4896.5590000000002</v>
      </c>
      <c r="G23" s="25">
        <f>+G24+G25</f>
        <v>5236.49</v>
      </c>
      <c r="H23" s="35">
        <f t="shared" si="0"/>
        <v>-6.4915811927455103E-2</v>
      </c>
      <c r="I23" s="25">
        <f>+I24+I25</f>
        <v>4909.0249999999996</v>
      </c>
      <c r="J23" s="35">
        <f t="shared" si="1"/>
        <v>-2.5394044642265134E-3</v>
      </c>
      <c r="K23" s="25"/>
    </row>
    <row r="24" spans="2:11" s="21" customFormat="1" x14ac:dyDescent="0.25">
      <c r="B24" s="21" t="s">
        <v>79</v>
      </c>
      <c r="F24" s="22">
        <v>1372.566</v>
      </c>
      <c r="G24" s="23">
        <v>2206.6579999999999</v>
      </c>
      <c r="H24" s="35">
        <f t="shared" si="0"/>
        <v>-0.37798879572638799</v>
      </c>
      <c r="I24" s="23">
        <v>1439.3710000000001</v>
      </c>
      <c r="J24" s="35">
        <f t="shared" si="1"/>
        <v>-4.6412634407668407E-2</v>
      </c>
      <c r="K24" s="23"/>
    </row>
    <row r="25" spans="2:11" s="21" customFormat="1" x14ac:dyDescent="0.25">
      <c r="B25" s="21" t="s">
        <v>80</v>
      </c>
      <c r="F25" s="22">
        <v>3523.9929999999999</v>
      </c>
      <c r="G25" s="23">
        <v>3029.8319999999999</v>
      </c>
      <c r="H25" s="35">
        <f t="shared" si="0"/>
        <v>0.16309848202804655</v>
      </c>
      <c r="I25" s="23">
        <v>3469.654</v>
      </c>
      <c r="J25" s="35">
        <f t="shared" si="1"/>
        <v>1.5661215786934468E-2</v>
      </c>
      <c r="K25" s="23"/>
    </row>
    <row r="26" spans="2:11" s="19" customFormat="1" x14ac:dyDescent="0.25">
      <c r="B26" s="19" t="s">
        <v>83</v>
      </c>
      <c r="F26" s="20">
        <f>+F27+F28+F29</f>
        <v>42559.033000000003</v>
      </c>
      <c r="G26" s="25">
        <f>+G27+G28+G29</f>
        <v>44269.735000000001</v>
      </c>
      <c r="H26" s="35">
        <f t="shared" si="0"/>
        <v>-3.8642697996723929E-2</v>
      </c>
      <c r="I26" s="25">
        <f>+I27+I28+I29</f>
        <v>43514.396000000001</v>
      </c>
      <c r="J26" s="35">
        <f t="shared" si="1"/>
        <v>-2.1955101939137522E-2</v>
      </c>
      <c r="K26" s="25"/>
    </row>
    <row r="27" spans="2:11" s="19" customFormat="1" x14ac:dyDescent="0.25">
      <c r="B27" s="21" t="s">
        <v>84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85</v>
      </c>
      <c r="C28" s="21"/>
      <c r="D28" s="21"/>
      <c r="E28" s="21"/>
      <c r="F28" s="22">
        <v>552.66</v>
      </c>
      <c r="G28" s="23">
        <v>1696.6020000000001</v>
      </c>
      <c r="H28" s="41">
        <f t="shared" si="0"/>
        <v>-0.67425477513288334</v>
      </c>
      <c r="I28" s="23">
        <v>729.98099999999999</v>
      </c>
      <c r="J28" s="41">
        <f t="shared" si="1"/>
        <v>-0.24291180181401983</v>
      </c>
      <c r="K28" s="23"/>
    </row>
    <row r="29" spans="2:11" s="19" customFormat="1" x14ac:dyDescent="0.25">
      <c r="B29" s="21" t="s">
        <v>120</v>
      </c>
      <c r="C29" s="21"/>
      <c r="D29" s="21"/>
      <c r="E29" s="21"/>
      <c r="F29" s="22">
        <v>42006.373</v>
      </c>
      <c r="G29" s="23">
        <v>42573.133000000002</v>
      </c>
      <c r="H29" s="41">
        <f t="shared" si="0"/>
        <v>-1.3312621366156074E-2</v>
      </c>
      <c r="I29" s="23">
        <v>42784.415000000001</v>
      </c>
      <c r="J29" s="41">
        <f t="shared" si="1"/>
        <v>-1.8185173269285149E-2</v>
      </c>
      <c r="K29" s="25"/>
    </row>
    <row r="30" spans="2:11" s="19" customFormat="1" x14ac:dyDescent="0.25">
      <c r="B30" s="19" t="s">
        <v>86</v>
      </c>
      <c r="F30" s="20">
        <v>248.761</v>
      </c>
      <c r="G30" s="25">
        <v>44.246000000000002</v>
      </c>
      <c r="H30" s="35">
        <f t="shared" si="0"/>
        <v>4.6222257379198117</v>
      </c>
      <c r="I30" s="25">
        <v>45.771000000000001</v>
      </c>
      <c r="J30" s="35">
        <f t="shared" si="1"/>
        <v>4.4349041969806207</v>
      </c>
      <c r="K30" s="25"/>
    </row>
    <row r="31" spans="2:11" s="19" customFormat="1" x14ac:dyDescent="0.25">
      <c r="B31" s="19" t="s">
        <v>87</v>
      </c>
      <c r="F31" s="20">
        <v>887.40800000000002</v>
      </c>
      <c r="G31" s="25">
        <v>858.697</v>
      </c>
      <c r="H31" s="35">
        <f t="shared" si="0"/>
        <v>3.3435542455604317E-2</v>
      </c>
      <c r="I31" s="25">
        <v>901.12800000000004</v>
      </c>
      <c r="J31" s="35">
        <f t="shared" si="1"/>
        <v>-1.522536199074942E-2</v>
      </c>
      <c r="K31" s="25"/>
    </row>
    <row r="32" spans="2:11" s="19" customFormat="1" x14ac:dyDescent="0.25">
      <c r="B32" s="19" t="s">
        <v>78</v>
      </c>
      <c r="F32" s="20">
        <v>174.07900000000001</v>
      </c>
      <c r="G32" s="25">
        <v>254.85499999999999</v>
      </c>
      <c r="H32" s="35">
        <f t="shared" si="0"/>
        <v>-0.31694885326950617</v>
      </c>
      <c r="I32" s="25">
        <v>195.56700000000001</v>
      </c>
      <c r="J32" s="35">
        <f t="shared" si="1"/>
        <v>-0.10987538797445373</v>
      </c>
      <c r="K32" s="25"/>
    </row>
    <row r="33" spans="2:11" s="19" customFormat="1" x14ac:dyDescent="0.25">
      <c r="B33" s="19" t="s">
        <v>19</v>
      </c>
      <c r="F33" s="20">
        <v>514.52200000000005</v>
      </c>
      <c r="G33" s="25">
        <v>503.11799999999999</v>
      </c>
      <c r="H33" s="35">
        <f t="shared" si="0"/>
        <v>2.2666650765824414E-2</v>
      </c>
      <c r="I33" s="25">
        <v>514.88400000000001</v>
      </c>
      <c r="J33" s="35">
        <f t="shared" si="1"/>
        <v>-7.0307098297861526E-4</v>
      </c>
      <c r="K33" s="25"/>
    </row>
    <row r="34" spans="2:11" s="19" customFormat="1" x14ac:dyDescent="0.25">
      <c r="B34" s="19" t="s">
        <v>88</v>
      </c>
      <c r="F34" s="20">
        <v>48.634999999999998</v>
      </c>
      <c r="G34" s="25">
        <v>49.323</v>
      </c>
      <c r="H34" s="35">
        <f t="shared" si="0"/>
        <v>-1.3948867668227893E-2</v>
      </c>
      <c r="I34" s="25">
        <v>51.753</v>
      </c>
      <c r="J34" s="35">
        <f t="shared" si="1"/>
        <v>-6.0247715108302957E-2</v>
      </c>
      <c r="K34" s="25"/>
    </row>
    <row r="35" spans="2:11" s="19" customFormat="1" x14ac:dyDescent="0.25">
      <c r="B35" s="19" t="s">
        <v>89</v>
      </c>
      <c r="F35" s="20">
        <v>1015.2859999999999</v>
      </c>
      <c r="G35" s="25">
        <v>1065.463</v>
      </c>
      <c r="H35" s="35">
        <f t="shared" si="0"/>
        <v>-4.7094080226155244E-2</v>
      </c>
      <c r="I35" s="25">
        <v>1014.204</v>
      </c>
      <c r="J35" s="35">
        <f t="shared" si="1"/>
        <v>1.0668465121415061E-3</v>
      </c>
      <c r="K35" s="25"/>
    </row>
    <row r="36" spans="2:11" s="19" customFormat="1" x14ac:dyDescent="0.25">
      <c r="B36" s="19" t="s">
        <v>90</v>
      </c>
      <c r="F36" s="20">
        <v>357.15800000000002</v>
      </c>
      <c r="G36" s="25">
        <v>347.75900000000001</v>
      </c>
      <c r="H36" s="35">
        <f t="shared" si="0"/>
        <v>2.7027337897796988E-2</v>
      </c>
      <c r="I36" s="25">
        <v>357.60399999999998</v>
      </c>
      <c r="J36" s="35">
        <f t="shared" si="1"/>
        <v>-1.2471896287512552E-3</v>
      </c>
      <c r="K36" s="25"/>
    </row>
    <row r="37" spans="2:11" s="19" customFormat="1" x14ac:dyDescent="0.25">
      <c r="B37" s="19" t="s">
        <v>91</v>
      </c>
      <c r="F37" s="20">
        <v>1960.893</v>
      </c>
      <c r="G37" s="25">
        <v>1931.433</v>
      </c>
      <c r="H37" s="35">
        <f t="shared" si="0"/>
        <v>1.5252923606462243E-2</v>
      </c>
      <c r="I37" s="25">
        <v>1942.923</v>
      </c>
      <c r="J37" s="35">
        <f t="shared" si="1"/>
        <v>9.2489511936397761E-3</v>
      </c>
      <c r="K37" s="25"/>
    </row>
    <row r="38" spans="2:11" s="6" customFormat="1" ht="17.25" x14ac:dyDescent="0.3">
      <c r="B38" s="19" t="s">
        <v>92</v>
      </c>
      <c r="C38" s="19"/>
      <c r="D38" s="19"/>
      <c r="E38" s="19"/>
      <c r="F38" s="20">
        <v>252.76</v>
      </c>
      <c r="G38" s="25">
        <v>295.95</v>
      </c>
      <c r="H38" s="35">
        <f t="shared" si="0"/>
        <v>-0.14593681365095457</v>
      </c>
      <c r="I38" s="25">
        <v>349.11200000000002</v>
      </c>
      <c r="J38" s="35">
        <f t="shared" si="1"/>
        <v>-0.27599165883727861</v>
      </c>
      <c r="K38" s="40"/>
    </row>
    <row r="39" spans="2:11" s="19" customFormat="1" ht="17.25" x14ac:dyDescent="0.3">
      <c r="B39" s="6" t="s">
        <v>104</v>
      </c>
      <c r="C39" s="6"/>
      <c r="D39" s="6"/>
      <c r="E39" s="6"/>
      <c r="F39" s="18">
        <f>+F15+F16+F20+F23+F26+F30+F31+F32+F33+F34+F35+F36+F37+F38</f>
        <v>57441.741000000002</v>
      </c>
      <c r="G39" s="40">
        <f>+G15+G16+G20+G23+G26+G30+G31+G32+G33+G34+G35+G36+G37+G38</f>
        <v>56515.915999999997</v>
      </c>
      <c r="H39" s="39">
        <f t="shared" si="0"/>
        <v>1.6381668484325873E-2</v>
      </c>
      <c r="I39" s="40">
        <f>+I15+I16+I20+I23+I26+I30+I31+I32+I33+I34+I35+I36+I37+I38</f>
        <v>57089.421999999999</v>
      </c>
      <c r="J39" s="39">
        <f t="shared" si="1"/>
        <v>6.171353425158177E-3</v>
      </c>
      <c r="K39" s="25"/>
    </row>
    <row r="40" spans="2:11" s="19" customFormat="1" x14ac:dyDescent="0.25">
      <c r="B40" s="19" t="s">
        <v>93</v>
      </c>
      <c r="F40" s="20">
        <v>83.364000000000004</v>
      </c>
      <c r="G40" s="25">
        <v>140.10900000000001</v>
      </c>
      <c r="H40" s="35">
        <f t="shared" si="0"/>
        <v>-0.40500610239170931</v>
      </c>
      <c r="I40" s="25">
        <v>90.739000000000004</v>
      </c>
      <c r="J40" s="35">
        <f t="shared" si="1"/>
        <v>-8.1277069396841539E-2</v>
      </c>
      <c r="K40" s="25"/>
    </row>
    <row r="41" spans="2:11" s="21" customFormat="1" x14ac:dyDescent="0.25">
      <c r="B41" s="19" t="s">
        <v>94</v>
      </c>
      <c r="C41" s="19"/>
      <c r="D41" s="19"/>
      <c r="E41" s="19"/>
      <c r="F41" s="20">
        <f>+F42+F43+F44+F45+F46</f>
        <v>50063.009000000005</v>
      </c>
      <c r="G41" s="25">
        <f>+G42+G43+G44+G45+G46</f>
        <v>49157.493000000002</v>
      </c>
      <c r="H41" s="35">
        <f t="shared" si="0"/>
        <v>1.8420711568834625E-2</v>
      </c>
      <c r="I41" s="25">
        <f>+I42+I43+I44+I45+I46</f>
        <v>49706.177000000003</v>
      </c>
      <c r="J41" s="35">
        <f t="shared" si="1"/>
        <v>7.1788260843315133E-3</v>
      </c>
      <c r="K41" s="23"/>
    </row>
    <row r="42" spans="2:11" s="21" customFormat="1" x14ac:dyDescent="0.25">
      <c r="B42" s="21" t="s">
        <v>95</v>
      </c>
      <c r="F42" s="22">
        <v>3980.1550000000002</v>
      </c>
      <c r="G42" s="23">
        <v>2620</v>
      </c>
      <c r="H42" s="35">
        <f t="shared" si="0"/>
        <v>0.51914312977099253</v>
      </c>
      <c r="I42" s="23">
        <v>3984.259</v>
      </c>
      <c r="J42" s="35">
        <f t="shared" si="1"/>
        <v>-1.0300535181070325E-3</v>
      </c>
      <c r="K42" s="23"/>
    </row>
    <row r="43" spans="2:11" s="21" customFormat="1" x14ac:dyDescent="0.25">
      <c r="B43" s="21" t="s">
        <v>96</v>
      </c>
      <c r="F43" s="22">
        <v>479.25700000000001</v>
      </c>
      <c r="G43" s="23">
        <v>743.13099999999997</v>
      </c>
      <c r="H43" s="35">
        <f t="shared" si="0"/>
        <v>-0.3550840968819764</v>
      </c>
      <c r="I43" s="23">
        <v>630.47299999999996</v>
      </c>
      <c r="J43" s="35">
        <f t="shared" si="1"/>
        <v>-0.23984532248010615</v>
      </c>
      <c r="K43" s="23"/>
    </row>
    <row r="44" spans="2:11" s="21" customFormat="1" x14ac:dyDescent="0.25">
      <c r="B44" s="21" t="s">
        <v>22</v>
      </c>
      <c r="F44" s="22">
        <v>41812.552000000003</v>
      </c>
      <c r="G44" s="23">
        <v>41227.453000000001</v>
      </c>
      <c r="H44" s="35">
        <f t="shared" si="0"/>
        <v>1.4191975429576065E-2</v>
      </c>
      <c r="I44" s="23">
        <v>41261.106</v>
      </c>
      <c r="J44" s="35">
        <f t="shared" si="1"/>
        <v>1.3364789591437498E-2</v>
      </c>
      <c r="K44" s="23"/>
    </row>
    <row r="45" spans="2:11" s="21" customFormat="1" x14ac:dyDescent="0.25">
      <c r="B45" s="21" t="s">
        <v>97</v>
      </c>
      <c r="F45" s="22">
        <v>3138.9430000000002</v>
      </c>
      <c r="G45" s="23">
        <v>4035.0990000000002</v>
      </c>
      <c r="H45" s="35">
        <f t="shared" si="0"/>
        <v>-0.22209021389561934</v>
      </c>
      <c r="I45" s="23">
        <v>3142.4949999999999</v>
      </c>
      <c r="J45" s="35">
        <f t="shared" si="1"/>
        <v>-1.1303120609578166E-3</v>
      </c>
      <c r="K45" s="23"/>
    </row>
    <row r="46" spans="2:11" x14ac:dyDescent="0.25">
      <c r="B46" s="21" t="s">
        <v>98</v>
      </c>
      <c r="C46" s="21"/>
      <c r="D46" s="21"/>
      <c r="E46" s="21"/>
      <c r="F46" s="22">
        <v>652.10199999999998</v>
      </c>
      <c r="G46" s="23">
        <v>531.80999999999995</v>
      </c>
      <c r="H46" s="35">
        <f t="shared" si="0"/>
        <v>0.22619356537109137</v>
      </c>
      <c r="I46" s="23">
        <v>687.84400000000005</v>
      </c>
      <c r="J46" s="35">
        <f t="shared" si="1"/>
        <v>-5.196236355917927E-2</v>
      </c>
      <c r="K46" s="11"/>
    </row>
    <row r="47" spans="2:11" x14ac:dyDescent="0.25">
      <c r="B47" s="19" t="s">
        <v>78</v>
      </c>
      <c r="F47" s="22">
        <v>148.846</v>
      </c>
      <c r="G47" s="11">
        <v>168.97200000000001</v>
      </c>
      <c r="H47" s="35">
        <f t="shared" si="0"/>
        <v>-0.11910849134767898</v>
      </c>
      <c r="I47" s="11">
        <v>153.07300000000001</v>
      </c>
      <c r="J47" s="35">
        <f t="shared" si="1"/>
        <v>-2.7614275541735012E-2</v>
      </c>
      <c r="K47" s="11"/>
    </row>
    <row r="48" spans="2:11" x14ac:dyDescent="0.25">
      <c r="B48" s="19" t="s">
        <v>99</v>
      </c>
      <c r="F48" s="22">
        <v>626.85400000000004</v>
      </c>
      <c r="G48" s="11">
        <v>635.35</v>
      </c>
      <c r="H48" s="35">
        <f t="shared" si="0"/>
        <v>-1.3372157078775482E-2</v>
      </c>
      <c r="I48" s="11">
        <v>630.30499999999995</v>
      </c>
      <c r="J48" s="35">
        <f t="shared" si="1"/>
        <v>-5.4751271209968477E-3</v>
      </c>
      <c r="K48" s="11"/>
    </row>
    <row r="49" spans="2:11" x14ac:dyDescent="0.25">
      <c r="B49" s="1" t="s">
        <v>100</v>
      </c>
      <c r="F49" s="22">
        <v>566.24</v>
      </c>
      <c r="G49" s="11">
        <v>558.41999999999996</v>
      </c>
      <c r="H49" s="35">
        <f t="shared" si="0"/>
        <v>1.4003796425629655E-2</v>
      </c>
      <c r="I49" s="11">
        <v>516.56100000000004</v>
      </c>
      <c r="J49" s="35">
        <f t="shared" si="1"/>
        <v>9.6172572067964701E-2</v>
      </c>
      <c r="K49" s="11"/>
    </row>
    <row r="50" spans="2:11" x14ac:dyDescent="0.25">
      <c r="B50" s="19" t="s">
        <v>101</v>
      </c>
      <c r="F50" s="22">
        <v>269.11</v>
      </c>
      <c r="G50" s="11">
        <v>285.14</v>
      </c>
      <c r="H50" s="35">
        <f t="shared" si="0"/>
        <v>-5.6217998176334327E-2</v>
      </c>
      <c r="I50" s="11">
        <v>259.18400000000003</v>
      </c>
      <c r="J50" s="35">
        <f t="shared" si="1"/>
        <v>3.8297117105994039E-2</v>
      </c>
      <c r="K50" s="11"/>
    </row>
    <row r="51" spans="2:11" s="6" customFormat="1" ht="17.25" x14ac:dyDescent="0.3">
      <c r="B51" s="19" t="s">
        <v>102</v>
      </c>
      <c r="C51" s="1"/>
      <c r="D51" s="1"/>
      <c r="E51" s="1"/>
      <c r="F51" s="22">
        <v>214.983</v>
      </c>
      <c r="G51" s="11">
        <v>174.62899999999999</v>
      </c>
      <c r="H51" s="35">
        <f t="shared" si="0"/>
        <v>0.23108418418475751</v>
      </c>
      <c r="I51" s="11">
        <v>207.84399999999999</v>
      </c>
      <c r="J51" s="35">
        <f t="shared" si="1"/>
        <v>3.4347876291834334E-2</v>
      </c>
      <c r="K51" s="40"/>
    </row>
    <row r="52" spans="2:11" ht="17.25" x14ac:dyDescent="0.3">
      <c r="B52" s="6" t="s">
        <v>103</v>
      </c>
      <c r="C52" s="6"/>
      <c r="D52" s="6"/>
      <c r="E52" s="6"/>
      <c r="F52" s="18">
        <f>+F40+F41+F47+F48+F49+F50+F51</f>
        <v>51972.406000000003</v>
      </c>
      <c r="G52" s="40">
        <f>+G40+G41+G47+G48+G49+G50+G51</f>
        <v>51120.112999999998</v>
      </c>
      <c r="H52" s="39">
        <f t="shared" si="0"/>
        <v>1.6672361424553195E-2</v>
      </c>
      <c r="I52" s="40">
        <f>+I40+I41+I47+I48+I49+I50+I51</f>
        <v>51563.883000000002</v>
      </c>
      <c r="J52" s="39">
        <f t="shared" si="1"/>
        <v>7.9226578029432115E-3</v>
      </c>
      <c r="K52" s="25"/>
    </row>
    <row r="53" spans="2:11" x14ac:dyDescent="0.25">
      <c r="B53" s="19" t="s">
        <v>105</v>
      </c>
      <c r="C53" s="19"/>
      <c r="D53" s="19"/>
      <c r="E53" s="19"/>
      <c r="F53" s="20">
        <v>5031.6080000000002</v>
      </c>
      <c r="G53" s="25">
        <v>4875.5159999999996</v>
      </c>
      <c r="H53" s="35">
        <f t="shared" si="0"/>
        <v>3.2015483079124385E-2</v>
      </c>
      <c r="I53" s="25">
        <v>5079.3900000000003</v>
      </c>
      <c r="J53" s="35">
        <f t="shared" si="1"/>
        <v>-9.4070350967341287E-3</v>
      </c>
      <c r="K53" s="25"/>
    </row>
    <row r="54" spans="2:11" x14ac:dyDescent="0.25">
      <c r="B54" s="19" t="s">
        <v>106</v>
      </c>
      <c r="C54" s="19"/>
      <c r="D54" s="19"/>
      <c r="E54" s="19"/>
      <c r="F54" s="20">
        <v>429.12099999999998</v>
      </c>
      <c r="G54" s="25">
        <v>507.46</v>
      </c>
      <c r="H54" s="35">
        <f t="shared" si="0"/>
        <v>-0.15437472904268312</v>
      </c>
      <c r="I54" s="25">
        <v>432.637</v>
      </c>
      <c r="J54" s="35">
        <f t="shared" si="1"/>
        <v>-8.1269054657830964E-3</v>
      </c>
      <c r="K54" s="25"/>
    </row>
    <row r="55" spans="2:11" s="6" customFormat="1" ht="17.25" x14ac:dyDescent="0.3">
      <c r="B55" s="19" t="s">
        <v>107</v>
      </c>
      <c r="C55" s="19"/>
      <c r="D55" s="19"/>
      <c r="E55" s="19"/>
      <c r="F55" s="20">
        <v>8.6059999999999999</v>
      </c>
      <c r="G55" s="25">
        <v>12.827</v>
      </c>
      <c r="H55" s="35">
        <f t="shared" si="0"/>
        <v>-0.32907148982614798</v>
      </c>
      <c r="I55" s="25">
        <v>13.512</v>
      </c>
      <c r="J55" s="35">
        <f t="shared" si="1"/>
        <v>-0.36308466548253404</v>
      </c>
      <c r="K55" s="27"/>
    </row>
    <row r="56" spans="2:11" s="6" customFormat="1" ht="17.25" x14ac:dyDescent="0.3">
      <c r="B56" s="6" t="s">
        <v>108</v>
      </c>
      <c r="F56" s="18">
        <f>+SUM(F53:F55)</f>
        <v>5469.335</v>
      </c>
      <c r="G56" s="27">
        <f>+SUM(G53:G55)</f>
        <v>5395.8029999999999</v>
      </c>
      <c r="H56" s="39">
        <f t="shared" si="0"/>
        <v>1.3627628732924446E-2</v>
      </c>
      <c r="I56" s="27">
        <f>+SUM(I53:I55)</f>
        <v>5525.5389999999998</v>
      </c>
      <c r="J56" s="39">
        <f t="shared" si="1"/>
        <v>-1.0171677369393284E-2</v>
      </c>
      <c r="K56" s="27"/>
    </row>
    <row r="57" spans="2:11" ht="17.25" x14ac:dyDescent="0.3">
      <c r="B57" s="6" t="s">
        <v>109</v>
      </c>
      <c r="C57" s="6"/>
      <c r="D57" s="6"/>
      <c r="E57" s="6"/>
      <c r="F57" s="18">
        <f>+F52+F56</f>
        <v>57441.741000000002</v>
      </c>
      <c r="G57" s="27">
        <f>+G52+G56</f>
        <v>56515.915999999997</v>
      </c>
      <c r="H57" s="39">
        <f t="shared" si="0"/>
        <v>1.6381668484325873E-2</v>
      </c>
      <c r="I57" s="27">
        <f>+I52+I56</f>
        <v>57089.421999999999</v>
      </c>
      <c r="J57" s="39">
        <f t="shared" si="1"/>
        <v>6.171353425158177E-3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56:I57 I52 I41 I39 I26 I23 I20 I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110</v>
      </c>
    </row>
    <row r="12" spans="2:9" ht="17.25" x14ac:dyDescent="0.3">
      <c r="B12" s="6" t="s">
        <v>10</v>
      </c>
      <c r="G12" s="4"/>
    </row>
    <row r="13" spans="2:9" x14ac:dyDescent="0.25">
      <c r="B13" s="73" t="s">
        <v>11</v>
      </c>
      <c r="G13" s="4"/>
    </row>
    <row r="14" spans="2:9" x14ac:dyDescent="0.25">
      <c r="B14" s="7"/>
      <c r="C14" s="7"/>
      <c r="D14" s="7"/>
      <c r="E14" s="7"/>
      <c r="F14" s="8" t="s">
        <v>14</v>
      </c>
      <c r="G14" s="9" t="s">
        <v>15</v>
      </c>
      <c r="H14" s="9" t="s">
        <v>12</v>
      </c>
    </row>
    <row r="15" spans="2:9" x14ac:dyDescent="0.25">
      <c r="B15" s="1" t="s">
        <v>22</v>
      </c>
      <c r="F15" s="10">
        <f>+Balantzea!F44</f>
        <v>41812.552000000003</v>
      </c>
      <c r="G15" s="11">
        <f>+Balantzea!$G$44</f>
        <v>41227.453000000001</v>
      </c>
      <c r="H15" s="35">
        <f>IF(ISERROR($F15/G15),"-",$F15/G15-1)</f>
        <v>1.4191975429576065E-2</v>
      </c>
      <c r="I15" s="12"/>
    </row>
    <row r="16" spans="2:9" s="5" customFormat="1" x14ac:dyDescent="0.25">
      <c r="B16" s="5" t="s">
        <v>24</v>
      </c>
      <c r="F16" s="17">
        <f>+'KF-B'!E24</f>
        <v>40126.572334540004</v>
      </c>
      <c r="G16" s="37">
        <f>+'KF-B'!F24</f>
        <v>38874.108071310002</v>
      </c>
      <c r="H16" s="38">
        <f t="shared" ref="H16:H25" si="0">IF(ISERROR($F16/G16),"-",$F16/G16-1)</f>
        <v>3.2218469448417997E-2</v>
      </c>
    </row>
    <row r="17" spans="2:11" x14ac:dyDescent="0.25">
      <c r="B17" s="1" t="s">
        <v>111</v>
      </c>
      <c r="F17" s="10">
        <v>1882.0250000000001</v>
      </c>
      <c r="G17" s="11">
        <v>1925.6320000000001</v>
      </c>
      <c r="H17" s="35">
        <f t="shared" si="0"/>
        <v>-2.2645552213507059E-2</v>
      </c>
    </row>
    <row r="18" spans="2:11" x14ac:dyDescent="0.25">
      <c r="B18" s="1" t="s">
        <v>112</v>
      </c>
      <c r="F18" s="10">
        <f>+F16-F17</f>
        <v>38244.547334540002</v>
      </c>
      <c r="G18" s="11">
        <f>+G16-G17</f>
        <v>36948.476071310004</v>
      </c>
      <c r="H18" s="35">
        <f t="shared" si="0"/>
        <v>3.5077800251588132E-2</v>
      </c>
    </row>
    <row r="19" spans="2:11" s="21" customFormat="1" x14ac:dyDescent="0.25">
      <c r="B19" s="21" t="s">
        <v>113</v>
      </c>
      <c r="F19" s="22">
        <v>26449.767</v>
      </c>
      <c r="G19" s="23">
        <v>23407.296999999999</v>
      </c>
      <c r="H19" s="41">
        <f t="shared" si="0"/>
        <v>0.12997955295735353</v>
      </c>
    </row>
    <row r="20" spans="2:11" s="21" customFormat="1" x14ac:dyDescent="0.25">
      <c r="B20" s="21" t="s">
        <v>114</v>
      </c>
      <c r="F20" s="22">
        <v>10668.679146949999</v>
      </c>
      <c r="G20" s="23">
        <v>12632.784008450002</v>
      </c>
      <c r="H20" s="41">
        <f t="shared" si="0"/>
        <v>-0.15547680227780547</v>
      </c>
    </row>
    <row r="21" spans="2:11" s="21" customFormat="1" x14ac:dyDescent="0.25">
      <c r="B21" s="21" t="s">
        <v>115</v>
      </c>
      <c r="F21" s="22">
        <v>1123.5409999999999</v>
      </c>
      <c r="G21" s="23">
        <v>889.85799999999995</v>
      </c>
      <c r="H21" s="41">
        <f t="shared" si="0"/>
        <v>0.26260706764450048</v>
      </c>
      <c r="K21" s="64"/>
    </row>
    <row r="22" spans="2:11" x14ac:dyDescent="0.25">
      <c r="B22" s="1" t="s">
        <v>116</v>
      </c>
      <c r="F22" s="10">
        <v>28220.588</v>
      </c>
      <c r="G22" s="11">
        <v>25227.682999999997</v>
      </c>
      <c r="H22" s="35">
        <f t="shared" si="0"/>
        <v>0.11863574629505225</v>
      </c>
    </row>
    <row r="23" spans="2:11" x14ac:dyDescent="0.25">
      <c r="B23" s="1" t="s">
        <v>117</v>
      </c>
      <c r="F23" s="10">
        <v>11903.424146949998</v>
      </c>
      <c r="G23" s="11">
        <v>13524.63100845</v>
      </c>
      <c r="H23" s="35">
        <f t="shared" si="0"/>
        <v>-0.11987069077796619</v>
      </c>
    </row>
    <row r="24" spans="2:11" x14ac:dyDescent="0.25">
      <c r="B24" s="1" t="s">
        <v>118</v>
      </c>
      <c r="F24" s="10">
        <f>+'KF-B'!E25</f>
        <v>19267.462245180002</v>
      </c>
      <c r="G24" s="11">
        <f>+'KF-B'!F25</f>
        <v>17886.114987289995</v>
      </c>
      <c r="H24" s="35">
        <f t="shared" si="0"/>
        <v>7.7230145219999047E-2</v>
      </c>
    </row>
    <row r="25" spans="2:11" s="5" customFormat="1" x14ac:dyDescent="0.25">
      <c r="B25" s="5" t="s">
        <v>119</v>
      </c>
      <c r="F25" s="17">
        <f>+F24+F16</f>
        <v>59394.034579720006</v>
      </c>
      <c r="G25" s="37">
        <f>+G24+G16</f>
        <v>56760.223058599993</v>
      </c>
      <c r="H25" s="38">
        <f t="shared" si="0"/>
        <v>4.640241667832834E-2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31</v>
      </c>
      <c r="G33" s="4"/>
    </row>
    <row r="34" spans="2:8" x14ac:dyDescent="0.25">
      <c r="B34" s="73" t="s">
        <v>11</v>
      </c>
      <c r="G34" s="4"/>
    </row>
    <row r="35" spans="2:8" x14ac:dyDescent="0.25">
      <c r="B35" s="7"/>
      <c r="C35" s="7"/>
      <c r="D35" s="7"/>
      <c r="E35" s="7"/>
      <c r="F35" s="8" t="s">
        <v>14</v>
      </c>
      <c r="G35" s="9" t="s">
        <v>32</v>
      </c>
      <c r="H35" s="9" t="s">
        <v>12</v>
      </c>
    </row>
    <row r="36" spans="2:8" x14ac:dyDescent="0.25">
      <c r="B36" s="1" t="s">
        <v>22</v>
      </c>
      <c r="F36" s="10">
        <f>+F15</f>
        <v>41812.552000000003</v>
      </c>
      <c r="G36" s="11">
        <f>+Balantzea!$I$44</f>
        <v>41261.106</v>
      </c>
      <c r="H36" s="35">
        <f>IF(ISERROR($F36/G36),"-",$F36/G36-1)</f>
        <v>1.3364789591437498E-2</v>
      </c>
    </row>
    <row r="37" spans="2:8" x14ac:dyDescent="0.25">
      <c r="B37" s="5" t="s">
        <v>24</v>
      </c>
      <c r="C37" s="5"/>
      <c r="D37" s="5"/>
      <c r="E37" s="5"/>
      <c r="F37" s="17">
        <f t="shared" ref="F37:F46" si="1">+F16</f>
        <v>40126.572334540004</v>
      </c>
      <c r="G37" s="37">
        <f>+'KF-B'!F46</f>
        <v>39550.180702630001</v>
      </c>
      <c r="H37" s="38">
        <f t="shared" ref="H37:H46" si="2">IF(ISERROR($F37/G37),"-",$F37/G37-1)</f>
        <v>1.4573678847229043E-2</v>
      </c>
    </row>
    <row r="38" spans="2:8" x14ac:dyDescent="0.25">
      <c r="B38" s="1" t="s">
        <v>111</v>
      </c>
      <c r="F38" s="10">
        <f t="shared" si="1"/>
        <v>1882.0250000000001</v>
      </c>
      <c r="G38" s="11">
        <v>2366.4609999999998</v>
      </c>
      <c r="H38" s="35">
        <f t="shared" si="2"/>
        <v>-0.20470905711101928</v>
      </c>
    </row>
    <row r="39" spans="2:8" x14ac:dyDescent="0.25">
      <c r="B39" s="1" t="s">
        <v>112</v>
      </c>
      <c r="F39" s="10">
        <f t="shared" si="1"/>
        <v>38244.547334540002</v>
      </c>
      <c r="G39" s="11">
        <f>+G37-G38</f>
        <v>37183.719702629998</v>
      </c>
      <c r="H39" s="35">
        <f t="shared" si="2"/>
        <v>2.8529357482085738E-2</v>
      </c>
    </row>
    <row r="40" spans="2:8" x14ac:dyDescent="0.25">
      <c r="B40" s="21" t="s">
        <v>113</v>
      </c>
      <c r="C40" s="21"/>
      <c r="D40" s="21"/>
      <c r="E40" s="21"/>
      <c r="F40" s="22">
        <f t="shared" si="1"/>
        <v>26449.767</v>
      </c>
      <c r="G40" s="23">
        <v>25356.815999999999</v>
      </c>
      <c r="H40" s="41">
        <f t="shared" si="2"/>
        <v>4.3102848559535278E-2</v>
      </c>
    </row>
    <row r="41" spans="2:8" x14ac:dyDescent="0.25">
      <c r="B41" s="21" t="s">
        <v>114</v>
      </c>
      <c r="C41" s="21"/>
      <c r="D41" s="21"/>
      <c r="E41" s="21"/>
      <c r="F41" s="22">
        <f t="shared" si="1"/>
        <v>10668.679146949999</v>
      </c>
      <c r="G41" s="23">
        <v>10972.47914695</v>
      </c>
      <c r="H41" s="41">
        <f t="shared" si="2"/>
        <v>-2.7687452938513712E-2</v>
      </c>
    </row>
    <row r="42" spans="2:8" x14ac:dyDescent="0.25">
      <c r="B42" s="21" t="s">
        <v>115</v>
      </c>
      <c r="C42" s="21"/>
      <c r="D42" s="21"/>
      <c r="E42" s="21"/>
      <c r="F42" s="22">
        <f t="shared" si="1"/>
        <v>1123.5409999999999</v>
      </c>
      <c r="G42" s="23">
        <v>850.40599999999995</v>
      </c>
      <c r="H42" s="41">
        <f t="shared" si="2"/>
        <v>0.32118188253610636</v>
      </c>
    </row>
    <row r="43" spans="2:8" x14ac:dyDescent="0.25">
      <c r="B43" s="1" t="s">
        <v>116</v>
      </c>
      <c r="F43" s="10">
        <f t="shared" si="1"/>
        <v>28220.588</v>
      </c>
      <c r="G43" s="11">
        <v>27583.934000000001</v>
      </c>
      <c r="H43" s="35">
        <f t="shared" si="2"/>
        <v>2.3080609169090938E-2</v>
      </c>
    </row>
    <row r="44" spans="2:8" x14ac:dyDescent="0.25">
      <c r="B44" s="1" t="s">
        <v>117</v>
      </c>
      <c r="F44" s="10">
        <f t="shared" si="1"/>
        <v>11903.424146949998</v>
      </c>
      <c r="G44" s="11">
        <v>11962.228146949998</v>
      </c>
      <c r="H44" s="35">
        <f t="shared" si="2"/>
        <v>-4.9158065936899531E-3</v>
      </c>
    </row>
    <row r="45" spans="2:8" x14ac:dyDescent="0.25">
      <c r="B45" s="1" t="s">
        <v>118</v>
      </c>
      <c r="F45" s="10">
        <f t="shared" si="1"/>
        <v>19267.462245180002</v>
      </c>
      <c r="G45" s="11">
        <f>+'KF-B'!F47</f>
        <v>18989.316522659996</v>
      </c>
      <c r="H45" s="35">
        <f t="shared" si="2"/>
        <v>1.4647484662657195E-2</v>
      </c>
    </row>
    <row r="46" spans="2:8" x14ac:dyDescent="0.25">
      <c r="B46" s="5" t="s">
        <v>119</v>
      </c>
      <c r="C46" s="5"/>
      <c r="D46" s="5"/>
      <c r="E46" s="5"/>
      <c r="F46" s="17">
        <f t="shared" si="1"/>
        <v>59394.034579720006</v>
      </c>
      <c r="G46" s="37">
        <f>+G45+G37</f>
        <v>58539.497225289997</v>
      </c>
      <c r="H46" s="38">
        <f t="shared" si="2"/>
        <v>1.4597620323613558E-2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121</v>
      </c>
    </row>
    <row r="12" spans="2:8" ht="17.25" x14ac:dyDescent="0.3">
      <c r="B12" s="6" t="s">
        <v>10</v>
      </c>
      <c r="G12" s="4"/>
    </row>
    <row r="13" spans="2:8" x14ac:dyDescent="0.25">
      <c r="B13" s="73" t="s">
        <v>11</v>
      </c>
      <c r="G13" s="4"/>
    </row>
    <row r="14" spans="2:8" x14ac:dyDescent="0.25">
      <c r="B14" s="7"/>
      <c r="C14" s="7"/>
      <c r="D14" s="7"/>
      <c r="E14" s="7"/>
      <c r="F14" s="8" t="s">
        <v>14</v>
      </c>
      <c r="G14" s="9" t="s">
        <v>15</v>
      </c>
      <c r="H14" s="9" t="s">
        <v>12</v>
      </c>
    </row>
    <row r="15" spans="2:8" x14ac:dyDescent="0.25">
      <c r="B15" s="5" t="s">
        <v>120</v>
      </c>
      <c r="C15" s="5"/>
      <c r="D15" s="5"/>
      <c r="E15" s="5"/>
      <c r="F15" s="17">
        <f>+Balantzea!F29</f>
        <v>42006.373</v>
      </c>
      <c r="G15" s="37">
        <f>+Balantzea!G29</f>
        <v>42573.133000000002</v>
      </c>
      <c r="H15" s="68">
        <f>+F15/G15-1</f>
        <v>-1.3312621366156074E-2</v>
      </c>
    </row>
    <row r="16" spans="2:8" s="21" customFormat="1" x14ac:dyDescent="0.25">
      <c r="B16" s="21" t="s">
        <v>122</v>
      </c>
      <c r="F16" s="22">
        <v>42914.815000000002</v>
      </c>
      <c r="G16" s="23">
        <v>43685.809000000001</v>
      </c>
      <c r="H16" s="26">
        <f t="shared" ref="H16:H23" si="0">+F16/G16-1</f>
        <v>-1.7648614450518685E-2</v>
      </c>
    </row>
    <row r="17" spans="2:8" x14ac:dyDescent="0.25">
      <c r="B17" s="1" t="s">
        <v>111</v>
      </c>
      <c r="F17" s="10">
        <v>2600.6370000000006</v>
      </c>
      <c r="G17" s="11">
        <v>2658.2419999999961</v>
      </c>
      <c r="H17" s="26">
        <f t="shared" si="0"/>
        <v>-2.1670337012204111E-2</v>
      </c>
    </row>
    <row r="18" spans="2:8" x14ac:dyDescent="0.25">
      <c r="B18" s="1" t="s">
        <v>112</v>
      </c>
      <c r="F18" s="10">
        <v>40314.178</v>
      </c>
      <c r="G18" s="11">
        <v>41027.567000000003</v>
      </c>
      <c r="H18" s="26">
        <f t="shared" si="0"/>
        <v>-1.7388040582567377E-2</v>
      </c>
    </row>
    <row r="19" spans="2:8" x14ac:dyDescent="0.25">
      <c r="B19" s="21" t="s">
        <v>123</v>
      </c>
      <c r="C19" s="21"/>
      <c r="D19" s="21"/>
      <c r="E19" s="21"/>
      <c r="F19" s="22">
        <v>33079.622000000003</v>
      </c>
      <c r="G19" s="23">
        <v>34394.343000000001</v>
      </c>
      <c r="H19" s="66">
        <f t="shared" si="0"/>
        <v>-3.8224919720083017E-2</v>
      </c>
    </row>
    <row r="20" spans="2:8" x14ac:dyDescent="0.25">
      <c r="B20" s="21" t="s">
        <v>124</v>
      </c>
      <c r="C20" s="21"/>
      <c r="D20" s="21"/>
      <c r="E20" s="21"/>
      <c r="F20" s="22">
        <v>7234.5559999999969</v>
      </c>
      <c r="G20" s="23">
        <v>6633.224000000002</v>
      </c>
      <c r="H20" s="66">
        <f t="shared" si="0"/>
        <v>9.0654559532437728E-2</v>
      </c>
    </row>
    <row r="21" spans="2:8" x14ac:dyDescent="0.25">
      <c r="B21" s="5" t="s">
        <v>125</v>
      </c>
      <c r="C21" s="5"/>
      <c r="D21" s="5"/>
      <c r="E21" s="5"/>
      <c r="F21" s="17">
        <v>31073.803</v>
      </c>
      <c r="G21" s="37">
        <v>31526.809000000001</v>
      </c>
      <c r="H21" s="68">
        <f t="shared" si="0"/>
        <v>-1.4368913771133696E-2</v>
      </c>
    </row>
    <row r="22" spans="2:8" x14ac:dyDescent="0.25">
      <c r="B22" s="21" t="s">
        <v>123</v>
      </c>
      <c r="C22" s="21"/>
      <c r="D22" s="21"/>
      <c r="E22" s="21"/>
      <c r="F22" s="22">
        <v>29252.503000000001</v>
      </c>
      <c r="G22" s="23">
        <v>29815.881000000001</v>
      </c>
      <c r="H22" s="66">
        <f t="shared" si="0"/>
        <v>-1.8895232376329951E-2</v>
      </c>
    </row>
    <row r="23" spans="2:8" x14ac:dyDescent="0.25">
      <c r="B23" s="21" t="s">
        <v>124</v>
      </c>
      <c r="C23" s="21"/>
      <c r="D23" s="21"/>
      <c r="E23" s="21"/>
      <c r="F23" s="22">
        <v>1821.2999999999993</v>
      </c>
      <c r="G23" s="23">
        <v>1710.9279999999999</v>
      </c>
      <c r="H23" s="66">
        <f t="shared" si="0"/>
        <v>6.4510020293080395E-2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31</v>
      </c>
      <c r="G30" s="4"/>
    </row>
    <row r="31" spans="2:8" x14ac:dyDescent="0.25">
      <c r="B31" s="73" t="s">
        <v>11</v>
      </c>
      <c r="G31" s="4"/>
    </row>
    <row r="32" spans="2:8" x14ac:dyDescent="0.25">
      <c r="B32" s="7"/>
      <c r="C32" s="7"/>
      <c r="D32" s="7"/>
      <c r="E32" s="7"/>
      <c r="F32" s="8" t="s">
        <v>14</v>
      </c>
      <c r="G32" s="9" t="s">
        <v>32</v>
      </c>
      <c r="H32" s="9" t="s">
        <v>12</v>
      </c>
    </row>
    <row r="33" spans="2:8" x14ac:dyDescent="0.25">
      <c r="B33" s="5" t="s">
        <v>120</v>
      </c>
      <c r="C33" s="5"/>
      <c r="D33" s="5"/>
      <c r="E33" s="5"/>
      <c r="F33" s="17">
        <f>+F15</f>
        <v>42006.373</v>
      </c>
      <c r="G33" s="37">
        <f>+Balantzea!I29</f>
        <v>42784.415000000001</v>
      </c>
      <c r="H33" s="68">
        <f>+F33/G33-1</f>
        <v>-1.8185173269285149E-2</v>
      </c>
    </row>
    <row r="34" spans="2:8" x14ac:dyDescent="0.25">
      <c r="B34" s="21" t="s">
        <v>122</v>
      </c>
      <c r="C34" s="21"/>
      <c r="D34" s="21"/>
      <c r="E34" s="21"/>
      <c r="F34" s="22">
        <f t="shared" ref="F34:F41" si="1">+F16</f>
        <v>42914.815000000002</v>
      </c>
      <c r="G34" s="23">
        <v>43891.487000000001</v>
      </c>
      <c r="H34" s="26">
        <f t="shared" ref="H34:H41" si="2">+F34/G34-1</f>
        <v>-2.225196881572955E-2</v>
      </c>
    </row>
    <row r="35" spans="2:8" x14ac:dyDescent="0.25">
      <c r="B35" s="1" t="s">
        <v>111</v>
      </c>
      <c r="F35" s="10">
        <f t="shared" si="1"/>
        <v>2600.6370000000006</v>
      </c>
      <c r="G35" s="11">
        <v>3055.6960000000045</v>
      </c>
      <c r="H35" s="26">
        <f>+F35/G35-1</f>
        <v>-0.14892155502379922</v>
      </c>
    </row>
    <row r="36" spans="2:8" x14ac:dyDescent="0.25">
      <c r="B36" s="1" t="s">
        <v>112</v>
      </c>
      <c r="F36" s="10">
        <f t="shared" si="1"/>
        <v>40314.178</v>
      </c>
      <c r="G36" s="11">
        <v>40835.790999999997</v>
      </c>
      <c r="H36" s="26">
        <f t="shared" si="2"/>
        <v>-1.2773427114464275E-2</v>
      </c>
    </row>
    <row r="37" spans="2:8" x14ac:dyDescent="0.25">
      <c r="B37" s="21" t="s">
        <v>123</v>
      </c>
      <c r="C37" s="21"/>
      <c r="D37" s="21"/>
      <c r="E37" s="21"/>
      <c r="F37" s="22">
        <f t="shared" si="1"/>
        <v>33079.622000000003</v>
      </c>
      <c r="G37" s="23">
        <v>33462.332000000002</v>
      </c>
      <c r="H37" s="66">
        <f t="shared" si="2"/>
        <v>-1.1437039116102277E-2</v>
      </c>
    </row>
    <row r="38" spans="2:8" x14ac:dyDescent="0.25">
      <c r="B38" s="21" t="s">
        <v>124</v>
      </c>
      <c r="C38" s="21"/>
      <c r="D38" s="21"/>
      <c r="E38" s="21"/>
      <c r="F38" s="22">
        <f t="shared" si="1"/>
        <v>7234.5559999999969</v>
      </c>
      <c r="G38" s="23">
        <v>7373.4589999999953</v>
      </c>
      <c r="H38" s="66">
        <f t="shared" si="2"/>
        <v>-1.8838241319304672E-2</v>
      </c>
    </row>
    <row r="39" spans="2:8" x14ac:dyDescent="0.25">
      <c r="B39" s="5" t="s">
        <v>125</v>
      </c>
      <c r="C39" s="5"/>
      <c r="D39" s="5"/>
      <c r="E39" s="5"/>
      <c r="F39" s="17">
        <f t="shared" si="1"/>
        <v>31073.803</v>
      </c>
      <c r="G39" s="37">
        <v>31216.803</v>
      </c>
      <c r="H39" s="68">
        <f t="shared" si="2"/>
        <v>-4.5808662725648208E-3</v>
      </c>
    </row>
    <row r="40" spans="2:8" x14ac:dyDescent="0.25">
      <c r="B40" s="21" t="s">
        <v>123</v>
      </c>
      <c r="C40" s="21"/>
      <c r="D40" s="21"/>
      <c r="E40" s="21"/>
      <c r="F40" s="22">
        <f t="shared" si="1"/>
        <v>29252.503000000001</v>
      </c>
      <c r="G40" s="23">
        <v>29439.685000000001</v>
      </c>
      <c r="H40" s="66">
        <f t="shared" si="2"/>
        <v>-6.3581522696319892E-3</v>
      </c>
    </row>
    <row r="41" spans="2:8" x14ac:dyDescent="0.25">
      <c r="B41" s="21" t="s">
        <v>124</v>
      </c>
      <c r="C41" s="21"/>
      <c r="D41" s="21"/>
      <c r="E41" s="21"/>
      <c r="F41" s="22">
        <f t="shared" si="1"/>
        <v>1821.2999999999993</v>
      </c>
      <c r="G41" s="23">
        <v>1777.1179999999986</v>
      </c>
      <c r="H41" s="66">
        <f t="shared" si="2"/>
        <v>2.4861601761954288E-2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2018-02-23T15:44:27Z</cp:lastPrinted>
  <dcterms:created xsi:type="dcterms:W3CDTF">2017-01-30T09:33:19Z</dcterms:created>
  <dcterms:modified xsi:type="dcterms:W3CDTF">2018-05-02T11:41:30Z</dcterms:modified>
</cp:coreProperties>
</file>