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19185" windowHeight="6375" tabRatio="802"/>
  </bookViews>
  <sheets>
    <sheet name="Contents" sheetId="22" r:id="rId1"/>
    <sheet name="KF-B" sheetId="11" r:id="rId2"/>
    <sheet name="KF-P" sheetId="15" r:id="rId3"/>
    <sheet name="KF-C&amp;L" sheetId="16" r:id="rId4"/>
    <sheet name="KF-O" sheetId="17" r:id="rId5"/>
    <sheet name="P&amp;L" sheetId="18" r:id="rId6"/>
    <sheet name="Balance sheet" sheetId="19" r:id="rId7"/>
    <sheet name="Customer funds" sheetId="20" r:id="rId8"/>
    <sheet name="Customer loans" sheetId="21" r:id="rId9"/>
    <sheet name="NPL+Cov" sheetId="24" r:id="rId10"/>
    <sheet name="Solvency" sheetId="23" r:id="rId11"/>
  </sheets>
  <definedNames>
    <definedName name="_xlnm.Print_Area" localSheetId="6">'Balance sheet'!$A$4:$K$65</definedName>
    <definedName name="_xlnm.Print_Area" localSheetId="7">'Customer funds'!$A$4:$K$66</definedName>
    <definedName name="_xlnm.Print_Area" localSheetId="8">'Customer loans'!$A$4:$K$65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'KF-P'!$A$4:$K$65</definedName>
    <definedName name="_xlnm.Print_Area" localSheetId="9">'NPL+Cov'!$A$4:$K$65</definedName>
    <definedName name="_xlnm.Print_Area" localSheetId="5">'P&amp;L'!$A$4:$K$64</definedName>
    <definedName name="_xlnm.Print_Area" localSheetId="10">Solvency!$A$4:$K$67</definedName>
  </definedNames>
  <calcPr calcId="145621"/>
</workbook>
</file>

<file path=xl/calcChain.xml><?xml version="1.0" encoding="utf-8"?>
<calcChain xmlns="http://schemas.openxmlformats.org/spreadsheetml/2006/main">
  <c r="F44" i="11" l="1"/>
  <c r="I41" i="19"/>
  <c r="F46" i="11" l="1"/>
  <c r="I23" i="19"/>
  <c r="I26" i="19"/>
  <c r="I16" i="19"/>
  <c r="I52" i="19"/>
  <c r="I56" i="19"/>
  <c r="F50" i="11"/>
  <c r="I20" i="19"/>
  <c r="F48" i="11" l="1"/>
  <c r="I39" i="19"/>
  <c r="I57" i="19"/>
  <c r="G52" i="23" l="1"/>
  <c r="G57" i="23" s="1"/>
  <c r="G54" i="23" l="1"/>
  <c r="G59" i="23" s="1"/>
  <c r="G53" i="23"/>
  <c r="G58" i="23" s="1"/>
  <c r="G37" i="20" l="1"/>
  <c r="G23" i="23" l="1"/>
  <c r="G28" i="23" l="1"/>
  <c r="G24" i="23"/>
  <c r="G25" i="23"/>
  <c r="G30" i="23" l="1"/>
  <c r="G29" i="23"/>
  <c r="H19" i="23" l="1"/>
  <c r="H18" i="23"/>
  <c r="F47" i="23"/>
  <c r="H47" i="23" s="1"/>
  <c r="F64" i="23" l="1"/>
  <c r="F63" i="23"/>
  <c r="F62" i="23"/>
  <c r="F60" i="23"/>
  <c r="F56" i="23"/>
  <c r="F55" i="23"/>
  <c r="F51" i="23"/>
  <c r="F50" i="23"/>
  <c r="F49" i="23"/>
  <c r="F48" i="23"/>
  <c r="F46" i="23"/>
  <c r="F45" i="23"/>
  <c r="F23" i="23"/>
  <c r="F52" i="23" l="1"/>
  <c r="F44" i="23"/>
  <c r="F28" i="23"/>
  <c r="F25" i="23"/>
  <c r="F24" i="23"/>
  <c r="F57" i="23" l="1"/>
  <c r="F30" i="23"/>
  <c r="F54" i="23"/>
  <c r="F29" i="23"/>
  <c r="F53" i="23"/>
  <c r="F58" i="23" l="1"/>
  <c r="F59" i="23"/>
  <c r="J19" i="18"/>
  <c r="H27" i="23" l="1"/>
  <c r="H56" i="23"/>
  <c r="G21" i="11" l="1"/>
  <c r="I29" i="18" l="1"/>
  <c r="J39" i="18"/>
  <c r="J37" i="18"/>
  <c r="J35" i="18"/>
  <c r="J34" i="18"/>
  <c r="J33" i="18"/>
  <c r="J32" i="18"/>
  <c r="J31" i="18"/>
  <c r="J30" i="18"/>
  <c r="J28" i="18"/>
  <c r="J26" i="18"/>
  <c r="J25" i="18"/>
  <c r="J24" i="18"/>
  <c r="J21" i="18"/>
  <c r="J20" i="18"/>
  <c r="J18" i="18"/>
  <c r="J17" i="18"/>
  <c r="J16" i="18"/>
  <c r="J15" i="18"/>
  <c r="I23" i="18" l="1"/>
  <c r="I22" i="18"/>
  <c r="I27" i="18" l="1"/>
  <c r="I36" i="18" l="1"/>
  <c r="I38" i="18" l="1"/>
  <c r="I40" i="18" s="1"/>
  <c r="H26" i="23" l="1"/>
  <c r="H22" i="23"/>
  <c r="H21" i="23"/>
  <c r="H16" i="23"/>
  <c r="H15" i="23"/>
  <c r="G25" i="11"/>
  <c r="G23" i="11"/>
  <c r="G20" i="11"/>
  <c r="H17" i="23" l="1"/>
  <c r="H20" i="23"/>
  <c r="G16" i="11"/>
  <c r="G20" i="19" l="1"/>
  <c r="J18" i="19" l="1"/>
  <c r="H18" i="19"/>
  <c r="J24" i="19"/>
  <c r="H24" i="19"/>
  <c r="H29" i="19"/>
  <c r="J29" i="19"/>
  <c r="H31" i="19"/>
  <c r="J31" i="19"/>
  <c r="H35" i="19"/>
  <c r="J35" i="19"/>
  <c r="H37" i="19"/>
  <c r="J37" i="19"/>
  <c r="H43" i="19"/>
  <c r="J43" i="19"/>
  <c r="J17" i="19"/>
  <c r="H17" i="19"/>
  <c r="J19" i="19"/>
  <c r="H19" i="19"/>
  <c r="J22" i="19"/>
  <c r="H22" i="19"/>
  <c r="H25" i="19"/>
  <c r="J25" i="19"/>
  <c r="J28" i="19"/>
  <c r="H28" i="19"/>
  <c r="J30" i="19"/>
  <c r="H30" i="19"/>
  <c r="J32" i="19"/>
  <c r="H32" i="19"/>
  <c r="J34" i="19"/>
  <c r="H34" i="19"/>
  <c r="J36" i="19"/>
  <c r="H36" i="19"/>
  <c r="J38" i="19"/>
  <c r="H38" i="19"/>
  <c r="J42" i="19"/>
  <c r="H42" i="19"/>
  <c r="J44" i="19"/>
  <c r="H44" i="19"/>
  <c r="J46" i="19"/>
  <c r="H46" i="19"/>
  <c r="J48" i="19"/>
  <c r="H48" i="19"/>
  <c r="J50" i="19"/>
  <c r="H50" i="19"/>
  <c r="H53" i="19"/>
  <c r="J53" i="19"/>
  <c r="H55" i="19"/>
  <c r="J55" i="19"/>
  <c r="J15" i="19"/>
  <c r="H15" i="19"/>
  <c r="H21" i="19"/>
  <c r="J21" i="19"/>
  <c r="H27" i="19"/>
  <c r="J27" i="19"/>
  <c r="H33" i="19"/>
  <c r="J33" i="19"/>
  <c r="J40" i="19"/>
  <c r="H40" i="19"/>
  <c r="H45" i="19"/>
  <c r="J45" i="19"/>
  <c r="H47" i="19"/>
  <c r="J47" i="19"/>
  <c r="H49" i="19"/>
  <c r="J49" i="19"/>
  <c r="H51" i="19"/>
  <c r="J51" i="19"/>
  <c r="J54" i="19"/>
  <c r="H54" i="19"/>
  <c r="G41" i="19"/>
  <c r="G26" i="19"/>
  <c r="G16" i="19"/>
  <c r="G23" i="19"/>
  <c r="G56" i="19"/>
  <c r="G47" i="20"/>
  <c r="G52" i="19" l="1"/>
  <c r="G39" i="19"/>
  <c r="G57" i="19" l="1"/>
  <c r="F20" i="19"/>
  <c r="F26" i="19"/>
  <c r="J26" i="19" l="1"/>
  <c r="H26" i="19"/>
  <c r="J20" i="19"/>
  <c r="H20" i="19"/>
  <c r="E18" i="16"/>
  <c r="F36" i="11" l="1"/>
  <c r="G36" i="20" l="1"/>
  <c r="G32" i="21"/>
  <c r="F31" i="16"/>
  <c r="F30" i="17"/>
  <c r="F30" i="15"/>
  <c r="G25" i="20" l="1"/>
  <c r="E38" i="11" l="1"/>
  <c r="G38" i="11" s="1"/>
  <c r="G15" i="20" l="1"/>
  <c r="G30" i="24" l="1"/>
  <c r="G14" i="20" l="1"/>
  <c r="G14" i="21" s="1"/>
  <c r="G14" i="24" s="1"/>
  <c r="F14" i="20"/>
  <c r="F14" i="21" l="1"/>
  <c r="F14" i="24" s="1"/>
  <c r="E20" i="16"/>
  <c r="E19" i="16"/>
  <c r="F14" i="11" l="1"/>
  <c r="F14" i="17" l="1"/>
  <c r="F14" i="16"/>
  <c r="F14" i="15"/>
  <c r="F30" i="24" l="1"/>
  <c r="F32" i="21"/>
  <c r="H23" i="23" l="1"/>
  <c r="E14" i="11"/>
  <c r="H25" i="23" l="1"/>
  <c r="H24" i="23"/>
  <c r="E36" i="11"/>
  <c r="E14" i="17"/>
  <c r="E14" i="16"/>
  <c r="E31" i="16" s="1"/>
  <c r="E14" i="15"/>
  <c r="E30" i="15" s="1"/>
  <c r="H44" i="23"/>
  <c r="E16" i="16" l="1"/>
  <c r="E15" i="16"/>
  <c r="E17" i="16"/>
  <c r="H35" i="23"/>
  <c r="H34" i="23"/>
  <c r="H33" i="23"/>
  <c r="H31" i="23"/>
  <c r="F36" i="20" l="1"/>
  <c r="E30" i="17"/>
  <c r="G21" i="16" l="1"/>
  <c r="G23" i="16"/>
  <c r="G22" i="16"/>
  <c r="F41" i="19" l="1"/>
  <c r="H41" i="19" l="1"/>
  <c r="J41" i="19"/>
  <c r="H28" i="23"/>
  <c r="H29" i="23"/>
  <c r="H30" i="23"/>
  <c r="H64" i="23" l="1"/>
  <c r="H60" i="23"/>
  <c r="H63" i="23"/>
  <c r="H62" i="23"/>
  <c r="H55" i="23"/>
  <c r="H54" i="23"/>
  <c r="H53" i="23"/>
  <c r="H52" i="23"/>
  <c r="H51" i="23"/>
  <c r="H50" i="23"/>
  <c r="H49" i="23"/>
  <c r="H48" i="23"/>
  <c r="H46" i="23"/>
  <c r="H45" i="23"/>
  <c r="G15" i="21"/>
  <c r="F15" i="20"/>
  <c r="G33" i="21"/>
  <c r="F15" i="21"/>
  <c r="F16" i="19"/>
  <c r="H29" i="18"/>
  <c r="E36" i="17"/>
  <c r="E35" i="17"/>
  <c r="E34" i="17"/>
  <c r="E32" i="17"/>
  <c r="E31" i="17"/>
  <c r="F37" i="16"/>
  <c r="F36" i="16"/>
  <c r="F35" i="16"/>
  <c r="F34" i="16"/>
  <c r="F33" i="16"/>
  <c r="F32" i="16"/>
  <c r="E40" i="16"/>
  <c r="G40" i="16" s="1"/>
  <c r="E38" i="16"/>
  <c r="G38" i="16" s="1"/>
  <c r="F20" i="16"/>
  <c r="F19" i="16"/>
  <c r="F18" i="16"/>
  <c r="F17" i="16"/>
  <c r="F16" i="16"/>
  <c r="F15" i="16"/>
  <c r="F41" i="11"/>
  <c r="F40" i="11"/>
  <c r="F28" i="11"/>
  <c r="F25" i="20"/>
  <c r="E45" i="11"/>
  <c r="G45" i="11" s="1"/>
  <c r="F22" i="11"/>
  <c r="E43" i="11"/>
  <c r="G43" i="11" s="1"/>
  <c r="E42" i="11"/>
  <c r="G42" i="11" s="1"/>
  <c r="F19" i="11"/>
  <c r="E19" i="11"/>
  <c r="F18" i="11"/>
  <c r="F17" i="11"/>
  <c r="E17" i="11"/>
  <c r="G19" i="11" l="1"/>
  <c r="J29" i="18"/>
  <c r="G17" i="11"/>
  <c r="J16" i="19"/>
  <c r="H16" i="19"/>
  <c r="E41" i="11"/>
  <c r="G41" i="11" s="1"/>
  <c r="F24" i="11"/>
  <c r="E39" i="11"/>
  <c r="G31" i="24"/>
  <c r="G15" i="24"/>
  <c r="G19" i="16"/>
  <c r="E37" i="16"/>
  <c r="G37" i="16" s="1"/>
  <c r="G20" i="16"/>
  <c r="E35" i="16"/>
  <c r="G35" i="16" s="1"/>
  <c r="G18" i="16"/>
  <c r="F15" i="11"/>
  <c r="E22" i="11"/>
  <c r="E39" i="16"/>
  <c r="G39" i="16" s="1"/>
  <c r="F37" i="11"/>
  <c r="F39" i="11"/>
  <c r="E28" i="11"/>
  <c r="F23" i="19"/>
  <c r="H25" i="20"/>
  <c r="F47" i="20"/>
  <c r="H47" i="20" s="1"/>
  <c r="E47" i="11"/>
  <c r="G47" i="11" s="1"/>
  <c r="H22" i="18"/>
  <c r="E18" i="11"/>
  <c r="E36" i="16"/>
  <c r="G36" i="16" s="1"/>
  <c r="H23" i="18"/>
  <c r="F37" i="20"/>
  <c r="H37" i="20" s="1"/>
  <c r="H15" i="20"/>
  <c r="F33" i="21"/>
  <c r="F15" i="24"/>
  <c r="H15" i="21"/>
  <c r="F56" i="19"/>
  <c r="F26" i="11" l="1"/>
  <c r="G22" i="11"/>
  <c r="J23" i="18"/>
  <c r="G18" i="11"/>
  <c r="J22" i="18"/>
  <c r="G28" i="11"/>
  <c r="G39" i="11"/>
  <c r="H23" i="19"/>
  <c r="J23" i="19"/>
  <c r="J56" i="19"/>
  <c r="H56" i="19"/>
  <c r="E50" i="11"/>
  <c r="G50" i="11" s="1"/>
  <c r="E44" i="11"/>
  <c r="G44" i="11" s="1"/>
  <c r="G38" i="20"/>
  <c r="G16" i="20"/>
  <c r="H15" i="24"/>
  <c r="F31" i="24"/>
  <c r="H31" i="24" s="1"/>
  <c r="E24" i="11"/>
  <c r="F52" i="19"/>
  <c r="F39" i="19"/>
  <c r="H57" i="23"/>
  <c r="G15" i="16"/>
  <c r="H59" i="23"/>
  <c r="G17" i="16"/>
  <c r="H58" i="23"/>
  <c r="G16" i="16"/>
  <c r="H33" i="21"/>
  <c r="E40" i="11"/>
  <c r="G40" i="11" s="1"/>
  <c r="H27" i="18"/>
  <c r="G24" i="11" l="1"/>
  <c r="J27" i="18"/>
  <c r="J52" i="19"/>
  <c r="H52" i="19"/>
  <c r="H39" i="19"/>
  <c r="J39" i="19"/>
  <c r="H36" i="18"/>
  <c r="F57" i="19"/>
  <c r="G26" i="20"/>
  <c r="G48" i="20"/>
  <c r="F16" i="20"/>
  <c r="E46" i="11"/>
  <c r="G46" i="11" s="1"/>
  <c r="E26" i="11"/>
  <c r="E15" i="11"/>
  <c r="E34" i="16"/>
  <c r="G34" i="16" s="1"/>
  <c r="E33" i="16"/>
  <c r="G33" i="16" s="1"/>
  <c r="E32" i="16"/>
  <c r="G32" i="16" s="1"/>
  <c r="F18" i="20" l="1"/>
  <c r="G15" i="11"/>
  <c r="J36" i="18"/>
  <c r="G26" i="11"/>
  <c r="H57" i="19"/>
  <c r="J57" i="19"/>
  <c r="F26" i="20"/>
  <c r="H38" i="18"/>
  <c r="E48" i="11"/>
  <c r="G48" i="11" s="1"/>
  <c r="F38" i="20"/>
  <c r="H38" i="20" s="1"/>
  <c r="H16" i="20"/>
  <c r="E37" i="11"/>
  <c r="G37" i="11" s="1"/>
  <c r="H26" i="20" l="1"/>
  <c r="J38" i="18"/>
  <c r="G27" i="11"/>
  <c r="F48" i="20"/>
  <c r="H48" i="20" s="1"/>
  <c r="E49" i="11"/>
  <c r="G49" i="11" s="1"/>
  <c r="H40" i="18"/>
  <c r="J40" i="18" l="1"/>
  <c r="H17" i="21" l="1"/>
  <c r="F35" i="21"/>
  <c r="H35" i="21" s="1"/>
  <c r="F37" i="21" l="1"/>
  <c r="H37" i="21" s="1"/>
  <c r="F39" i="21" l="1"/>
  <c r="H39" i="21" s="1"/>
  <c r="H21" i="21"/>
  <c r="F40" i="21"/>
  <c r="H40" i="21" s="1"/>
  <c r="H22" i="21"/>
  <c r="H23" i="21" l="1"/>
  <c r="F41" i="21"/>
  <c r="H41" i="21" s="1"/>
  <c r="F41" i="20" l="1"/>
  <c r="F39" i="20" l="1"/>
  <c r="F43" i="20"/>
  <c r="F40" i="20" l="1"/>
  <c r="F35" i="24" l="1"/>
  <c r="F33" i="24"/>
  <c r="H19" i="21" l="1"/>
  <c r="F16" i="24" l="1"/>
  <c r="F34" i="21"/>
  <c r="F38" i="21" l="1"/>
  <c r="F36" i="21"/>
  <c r="F32" i="24"/>
  <c r="H33" i="24" l="1"/>
  <c r="H36" i="21" l="1"/>
  <c r="H35" i="24"/>
  <c r="H38" i="21" l="1"/>
  <c r="G32" i="24"/>
  <c r="H34" i="21"/>
  <c r="H32" i="24" l="1"/>
  <c r="H41" i="20"/>
  <c r="H43" i="20" l="1"/>
  <c r="H17" i="24" l="1"/>
  <c r="H19" i="20" l="1"/>
  <c r="H21" i="20" l="1"/>
  <c r="H18" i="21" l="1"/>
  <c r="H19" i="24"/>
  <c r="G16" i="24"/>
  <c r="H16" i="21"/>
  <c r="H20" i="21" l="1"/>
  <c r="H16" i="24"/>
  <c r="F45" i="20" l="1"/>
  <c r="H45" i="20" s="1"/>
  <c r="H23" i="20"/>
  <c r="F36" i="24" l="1"/>
  <c r="H20" i="24"/>
  <c r="H36" i="24"/>
  <c r="F34" i="24" l="1"/>
  <c r="H34" i="24" s="1"/>
  <c r="H18" i="24"/>
  <c r="E33" i="17" l="1"/>
  <c r="G36" i="17" l="1"/>
  <c r="G35" i="17"/>
  <c r="G34" i="17"/>
  <c r="G32" i="17"/>
  <c r="G31" i="17"/>
  <c r="G33" i="17" l="1"/>
  <c r="G20" i="17" l="1"/>
  <c r="G19" i="17"/>
  <c r="G18" i="17"/>
  <c r="G16" i="17"/>
  <c r="G15" i="17"/>
  <c r="G17" i="17" l="1"/>
  <c r="E33" i="15" l="1"/>
  <c r="G19" i="15"/>
  <c r="E35" i="15"/>
  <c r="E31" i="15" l="1"/>
  <c r="G15" i="15"/>
  <c r="E34" i="15"/>
  <c r="G16" i="15" l="1"/>
  <c r="E32" i="15"/>
  <c r="G35" i="15" l="1"/>
  <c r="G33" i="15"/>
  <c r="G34" i="15"/>
  <c r="G31" i="15" l="1"/>
  <c r="G32" i="15" l="1"/>
  <c r="G17" i="15" l="1"/>
  <c r="G18" i="15"/>
  <c r="G40" i="20" l="1"/>
  <c r="H17" i="20"/>
  <c r="G18" i="20"/>
  <c r="H39" i="20"/>
  <c r="H40" i="20" l="1"/>
  <c r="H18" i="20"/>
  <c r="F42" i="20" l="1"/>
  <c r="H42" i="20" s="1"/>
  <c r="H20" i="20"/>
  <c r="F44" i="20" l="1"/>
  <c r="H44" i="20" s="1"/>
  <c r="H22" i="20"/>
  <c r="F46" i="20" l="1"/>
  <c r="H46" i="20" s="1"/>
  <c r="H24" i="20"/>
</calcChain>
</file>

<file path=xl/sharedStrings.xml><?xml version="1.0" encoding="utf-8"?>
<sst xmlns="http://schemas.openxmlformats.org/spreadsheetml/2006/main" count="307" uniqueCount="157">
  <si>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</si>
  <si>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</si>
  <si>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</si>
  <si>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</si>
  <si>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</si>
  <si>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</si>
  <si>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</si>
  <si>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</si>
  <si>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</si>
  <si>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</si>
  <si>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</si>
  <si>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</si>
  <si>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</si>
  <si>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t>Quarterly report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</si>
  <si>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Balance sheet</t>
    </r>
  </si>
  <si>
    <t>YoY performance</t>
  </si>
  <si>
    <t>Amounts in million of Euros</t>
  </si>
  <si>
    <t>Total assets</t>
  </si>
  <si>
    <t>Debt instruments</t>
  </si>
  <si>
    <t>Equity instruments (AFS)</t>
  </si>
  <si>
    <t>Equity investments</t>
  </si>
  <si>
    <t>Customer loans</t>
  </si>
  <si>
    <t>Negotiable debt securities</t>
  </si>
  <si>
    <t>o/w Subordinated debt</t>
  </si>
  <si>
    <t>Customer deposits</t>
  </si>
  <si>
    <t>o/w multiseller CBs</t>
  </si>
  <si>
    <t>Pro-forma: excluding multi-CBs</t>
  </si>
  <si>
    <t>Off-balance sheet items</t>
  </si>
  <si>
    <t>Total Customer funds</t>
  </si>
  <si>
    <t>Turnover</t>
  </si>
  <si>
    <t>Equity</t>
  </si>
  <si>
    <t>Last quarter performance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</si>
  <si>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Profitability</t>
    </r>
  </si>
  <si>
    <t>Cost to Income ratio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</si>
  <si>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Capital&amp;Liquidity</t>
    </r>
  </si>
  <si>
    <t>CET1 ratio</t>
  </si>
  <si>
    <t>Tier1 ratio</t>
  </si>
  <si>
    <t>Total capital ratio</t>
  </si>
  <si>
    <t>Leverage ratio</t>
  </si>
  <si>
    <t>Pro-forma Leverage ratio fully loaded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</si>
  <si>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Other figures</t>
    </r>
  </si>
  <si>
    <t>Units</t>
  </si>
  <si>
    <t>Number of employees</t>
  </si>
  <si>
    <t>Number of branches</t>
  </si>
  <si>
    <t>Number of customers</t>
  </si>
  <si>
    <t>Number of retail customers</t>
  </si>
  <si>
    <t>Number of wholesale customers</t>
  </si>
  <si>
    <t>Number of ATMs</t>
  </si>
  <si>
    <t>P&amp;L statement</t>
  </si>
  <si>
    <t>Net interest income</t>
  </si>
  <si>
    <t>Dividends</t>
  </si>
  <si>
    <t>Share of profit/loss of companies accounted for using the equity method</t>
  </si>
  <si>
    <t>Net fees and commissions</t>
  </si>
  <si>
    <t>Gains/losses on financial assets and liabilities</t>
  </si>
  <si>
    <t>Exchange differences</t>
  </si>
  <si>
    <t>Other operating income/expense</t>
  </si>
  <si>
    <t>Gross income</t>
  </si>
  <si>
    <t>General expenses</t>
  </si>
  <si>
    <t>Staff costs</t>
  </si>
  <si>
    <t>Other general expenses</t>
  </si>
  <si>
    <t>Depreciation and amortisation</t>
  </si>
  <si>
    <t>Operating income before provisions</t>
  </si>
  <si>
    <t>Provisions (net)</t>
  </si>
  <si>
    <t>Impairment losses on financial assets (net)</t>
  </si>
  <si>
    <t>o/w loan-loss provisions</t>
  </si>
  <si>
    <t>o/w others</t>
  </si>
  <si>
    <t>Impairment losses on investments</t>
  </si>
  <si>
    <t>Impairment losses on non-financial assets</t>
  </si>
  <si>
    <t>Gains on disposal of assets not clasified as non-current assets held for sale</t>
  </si>
  <si>
    <t>Gains on non-current assets held for sale not classified as disc. op.</t>
  </si>
  <si>
    <t>Profit before tax</t>
  </si>
  <si>
    <t>Corporate income tax</t>
  </si>
  <si>
    <t>Consolidated profit</t>
  </si>
  <si>
    <t>Profit attributable to minority interests</t>
  </si>
  <si>
    <t>Profit attributable to the Parent company</t>
  </si>
  <si>
    <t>Balance sheet</t>
  </si>
  <si>
    <t>Cash and balances at central banks</t>
  </si>
  <si>
    <t>Financial assets held for trading</t>
  </si>
  <si>
    <t>Trading derivatives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</si>
  <si>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</si>
  <si>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</si>
  <si>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</si>
  <si>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</si>
  <si>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</si>
  <si>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Central banks</t>
  </si>
  <si>
    <t>Bank deposits</t>
  </si>
  <si>
    <t>Customer loans and advances</t>
  </si>
  <si>
    <t>Held-to-maturity investments</t>
  </si>
  <si>
    <t>Non-current assets held for sale</t>
  </si>
  <si>
    <t>Hedging derivatives</t>
  </si>
  <si>
    <t>Reinsurance assets</t>
  </si>
  <si>
    <t>Tangible assets</t>
  </si>
  <si>
    <t>Intangible assets</t>
  </si>
  <si>
    <t>Tax assets</t>
  </si>
  <si>
    <t>Other assets</t>
  </si>
  <si>
    <t>TOTAL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</si>
  <si>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</si>
  <si>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</si>
  <si>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</si>
  <si>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</si>
  <si>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</si>
  <si>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</si>
  <si>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</si>
  <si>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Provisions</t>
  </si>
  <si>
    <t>Tax liabilities</t>
  </si>
  <si>
    <t>Other liabilities</t>
  </si>
  <si>
    <t>Total liabilities</t>
  </si>
  <si>
    <t>Valuation adjustments</t>
  </si>
  <si>
    <t>Minority interests</t>
  </si>
  <si>
    <t>Total equity</t>
  </si>
  <si>
    <t>TOTAL EQUITY AND LIABILITIES</t>
  </si>
  <si>
    <r>
      <t xml:space="preserve">Customer funds. </t>
    </r>
    <r>
      <rPr>
        <sz val="18"/>
        <color theme="1"/>
        <rFont val="Calibri"/>
        <family val="2"/>
        <scheme val="minor"/>
      </rPr>
      <t>Breakdown</t>
    </r>
  </si>
  <si>
    <t>Customer deposits net of multiseller CBs</t>
  </si>
  <si>
    <t>Public sector</t>
  </si>
  <si>
    <t>Private sector</t>
  </si>
  <si>
    <t>o/w Cash deposits</t>
  </si>
  <si>
    <t>o/w Term deposits</t>
  </si>
  <si>
    <t>o/w Repurchase agreements</t>
  </si>
  <si>
    <t>Off-balance Customer funds</t>
  </si>
  <si>
    <r>
      <t xml:space="preserve">Customer loans. </t>
    </r>
    <r>
      <rPr>
        <sz val="18"/>
        <color theme="1"/>
        <rFont val="Calibri"/>
        <family val="2"/>
        <scheme val="minor"/>
      </rPr>
      <t>Breakdown</t>
    </r>
  </si>
  <si>
    <t>Pro-forma: Gross Customer loans</t>
  </si>
  <si>
    <t>o/w Secured</t>
  </si>
  <si>
    <t>o/w Unsecured</t>
  </si>
  <si>
    <t>Households</t>
  </si>
  <si>
    <t>Doubtful</t>
  </si>
  <si>
    <r>
      <t xml:space="preserve">Solvency. </t>
    </r>
    <r>
      <rPr>
        <sz val="18"/>
        <color theme="1"/>
        <rFont val="Calibri"/>
        <family val="2"/>
        <scheme val="minor"/>
      </rPr>
      <t>Breakdown</t>
    </r>
  </si>
  <si>
    <t>Reserves</t>
  </si>
  <si>
    <t>Retained earnings</t>
  </si>
  <si>
    <t>Deductions</t>
  </si>
  <si>
    <t>CET I capital</t>
  </si>
  <si>
    <t>Tier I capital</t>
  </si>
  <si>
    <t>Total capital</t>
  </si>
  <si>
    <t>RWA</t>
  </si>
  <si>
    <t xml:space="preserve">CET I ratio </t>
  </si>
  <si>
    <t>Tier I ratio</t>
  </si>
  <si>
    <t xml:space="preserve">Total Capital ratio </t>
  </si>
  <si>
    <t>CET I ratio fully loaded</t>
  </si>
  <si>
    <t xml:space="preserve">Total Capital fully loaded ratio </t>
  </si>
  <si>
    <t>Leverage fully loaded ratio</t>
  </si>
  <si>
    <t>Accumulated other comprehensive income</t>
  </si>
  <si>
    <r>
      <t xml:space="preserve">NPL and Coverage. </t>
    </r>
    <r>
      <rPr>
        <sz val="18"/>
        <color theme="1"/>
        <rFont val="Calibri"/>
        <family val="2"/>
        <scheme val="minor"/>
      </rPr>
      <t>Breakdown</t>
    </r>
  </si>
  <si>
    <t>o/w Credit risk</t>
  </si>
  <si>
    <t>Prudential Coverage of NPE</t>
  </si>
  <si>
    <t>3Q21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</si>
  <si>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Capital ratios include the 40% of the cumulative Net income and provisions allocated to date.</t>
    </r>
  </si>
  <si>
    <r>
      <t>NPL ratio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</si>
  <si>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Loan coverage ratio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</si>
  <si>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Including contigent risks and Prudential Coverage of NPE 4Q20 onwards.</t>
    </r>
  </si>
  <si>
    <t>4Q2021</t>
  </si>
  <si>
    <t>4Q21</t>
  </si>
  <si>
    <t>4Q20</t>
  </si>
  <si>
    <t>FY21</t>
  </si>
  <si>
    <t>FY20</t>
  </si>
  <si>
    <r>
      <t>3Q21</t>
    </r>
    <r>
      <rPr>
        <vertAlign val="superscript"/>
        <sz val="11"/>
        <color theme="1"/>
        <rFont val="Calibri"/>
        <family val="2"/>
        <scheme val="minor"/>
      </rPr>
      <t>(1)</t>
    </r>
  </si>
  <si>
    <t>o/w Valuation adjustments</t>
  </si>
  <si>
    <r>
      <t>4Q21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</si>
  <si>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4Q20</t>
    </r>
    <r>
      <rPr>
        <vertAlign val="superscript"/>
        <sz val="11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</si>
</sst>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/>
    <xf numFmtId="167" fontId="2" fillId="2" borderId="0" xfId="0" applyNumberFormat="1" applyFont="1" applyFill="1" applyAlignment="1">
      <alignment horizontal="center"/>
    </xf>
    <xf numFmtId="10" fontId="14" fillId="3" borderId="0" xfId="1" applyNumberFormat="1" applyFont="1" applyFill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0" fontId="16" fillId="3" borderId="0" xfId="1" applyNumberFormat="1" applyFont="1" applyFill="1" applyAlignment="1">
      <alignment horizontal="center"/>
    </xf>
    <xf numFmtId="3" fontId="14" fillId="3" borderId="0" xfId="1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0" fontId="15" fillId="3" borderId="0" xfId="1" applyNumberFormat="1" applyFont="1" applyFill="1" applyAlignment="1">
      <alignment horizontal="center"/>
    </xf>
    <xf numFmtId="10" fontId="18" fillId="3" borderId="0" xfId="1" applyNumberFormat="1" applyFont="1" applyFill="1" applyAlignment="1">
      <alignment horizontal="center"/>
    </xf>
    <xf numFmtId="0" fontId="16" fillId="3" borderId="0" xfId="0" applyFont="1" applyFill="1"/>
    <xf numFmtId="10" fontId="17" fillId="3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NPL+Cov'!A1"/><Relationship Id="rId3" Type="http://schemas.openxmlformats.org/officeDocument/2006/relationships/image" Target="../media/image1.emf"/><Relationship Id="rId7" Type="http://schemas.openxmlformats.org/officeDocument/2006/relationships/hyperlink" Target="#'Customer loans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Customer funds'!A1"/><Relationship Id="rId5" Type="http://schemas.openxmlformats.org/officeDocument/2006/relationships/hyperlink" Target="#'Balance sheet'!A1"/><Relationship Id="rId4" Type="http://schemas.openxmlformats.org/officeDocument/2006/relationships/hyperlink" Target="#'P&amp;L'!A1"/><Relationship Id="rId9" Type="http://schemas.openxmlformats.org/officeDocument/2006/relationships/hyperlink" Target="#Solvenc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P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Key figures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P&amp;L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funds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loans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NPL and Coverage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Solvency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751417</xdr:colOff>
      <xdr:row>1</xdr:row>
      <xdr:rowOff>42332</xdr:rowOff>
    </xdr:from>
    <xdr:to>
      <xdr:col>2</xdr:col>
      <xdr:colOff>440264</xdr:colOff>
      <xdr:row>2</xdr:row>
      <xdr:rowOff>132037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51417" y="232832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751417</xdr:colOff>
      <xdr:row>1</xdr:row>
      <xdr:rowOff>42332</xdr:rowOff>
    </xdr:from>
    <xdr:to>
      <xdr:col>2</xdr:col>
      <xdr:colOff>440264</xdr:colOff>
      <xdr:row>2</xdr:row>
      <xdr:rowOff>132037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51417" y="232832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figures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69" t="s">
        <v>148</v>
      </c>
      <c r="D10" s="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1.42578125" style="1" customWidth="1"/>
    <col min="3" max="4" width="11.42578125" style="1"/>
    <col min="5" max="5" width="11.42578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140</v>
      </c>
    </row>
    <row r="12" spans="2:8" ht="17.25" x14ac:dyDescent="0.3">
      <c r="B12" s="6" t="s">
        <v>15</v>
      </c>
      <c r="G12" s="4"/>
    </row>
    <row r="13" spans="2:8" x14ac:dyDescent="0.25">
      <c r="B13" s="70" t="s">
        <v>16</v>
      </c>
      <c r="G13" s="4"/>
    </row>
    <row r="14" spans="2:8" x14ac:dyDescent="0.25">
      <c r="B14" s="7"/>
      <c r="C14" s="7"/>
      <c r="D14" s="7"/>
      <c r="E14" s="7"/>
      <c r="F14" s="8" t="str">
        <f>+'Customer loans'!F14</f>
        <v>4Q21</v>
      </c>
      <c r="G14" s="9" t="str">
        <f>+'Customer loans'!G14</f>
        <v>4Q20</v>
      </c>
      <c r="H14" s="9" t="s">
        <v>0</v>
      </c>
    </row>
    <row r="15" spans="2:8" s="19" customFormat="1" x14ac:dyDescent="0.25">
      <c r="B15" s="19" t="s">
        <v>21</v>
      </c>
      <c r="F15" s="20">
        <f>+'Customer loans'!F15</f>
        <v>47516.159</v>
      </c>
      <c r="G15" s="25">
        <f>+'Customer loans'!G15</f>
        <v>44261.675000000003</v>
      </c>
      <c r="H15" s="34">
        <f>IF(ISERROR($F15/G15),"-",$F15/G15-1)</f>
        <v>7.3528261187584931E-2</v>
      </c>
    </row>
    <row r="16" spans="2:8" x14ac:dyDescent="0.25">
      <c r="B16" s="21" t="s">
        <v>120</v>
      </c>
      <c r="C16" s="21"/>
      <c r="D16" s="21"/>
      <c r="E16" s="21"/>
      <c r="F16" s="20">
        <f>+'Customer loans'!F16</f>
        <v>48245.495000000003</v>
      </c>
      <c r="G16" s="23">
        <f>+'Customer loans'!G16</f>
        <v>44996.474000000002</v>
      </c>
      <c r="H16" s="39">
        <f>IF(ISERROR($F16/G16),"-",$F16/G16-1)</f>
        <v>7.2206124417659945E-2</v>
      </c>
    </row>
    <row r="17" spans="2:8" x14ac:dyDescent="0.25">
      <c r="B17" s="19" t="s">
        <v>124</v>
      </c>
      <c r="C17" s="19"/>
      <c r="D17" s="19"/>
      <c r="E17" s="19"/>
      <c r="F17" s="85">
        <v>918.74900000000002</v>
      </c>
      <c r="G17" s="25">
        <v>1073.1210000000001</v>
      </c>
      <c r="H17" s="34">
        <f>IF(ISERROR($F17/G17),"-",$F17/G17-1)</f>
        <v>-0.14385330265645724</v>
      </c>
    </row>
    <row r="18" spans="2:8" ht="15" customHeight="1" x14ac:dyDescent="0.25">
      <c r="B18" s="5" t="s">
        <v>145</v>
      </c>
      <c r="C18" s="5"/>
      <c r="D18" s="5"/>
      <c r="E18" s="5"/>
      <c r="F18" s="87">
        <v>1.8572665518824354E-2</v>
      </c>
      <c r="G18" s="67">
        <v>2.3227992169832096E-2</v>
      </c>
      <c r="H18" s="68" t="str">
        <f>IF(ISERROR($F18-G18),"-",CONCATENATE((FIXED($F18-G18,4)*10000)," bp"))</f>
        <v>-47 bp</v>
      </c>
    </row>
    <row r="19" spans="2:8" x14ac:dyDescent="0.25">
      <c r="B19" s="19" t="s">
        <v>103</v>
      </c>
      <c r="C19" s="19"/>
      <c r="D19" s="19"/>
      <c r="E19" s="19"/>
      <c r="F19" s="85">
        <v>754.20800000000008</v>
      </c>
      <c r="G19" s="25">
        <v>761.05</v>
      </c>
      <c r="H19" s="34">
        <f>IF(ISERROR($F19/G19),"-",$F19/G19-1)</f>
        <v>-8.9902108928452407E-3</v>
      </c>
    </row>
    <row r="20" spans="2:8" ht="15" customHeight="1" x14ac:dyDescent="0.25">
      <c r="B20" s="5" t="s">
        <v>146</v>
      </c>
      <c r="C20" s="5"/>
      <c r="D20" s="5"/>
      <c r="E20" s="5"/>
      <c r="F20" s="87">
        <v>0.96330734911526716</v>
      </c>
      <c r="G20" s="67">
        <v>0.79313303276011549</v>
      </c>
      <c r="H20" s="68" t="str">
        <f>IF(ISERROR($F20-G20),"-",CONCATENATE((FIXED($F20-G20,4)*10000)," bp"))</f>
        <v>1702 bp</v>
      </c>
    </row>
    <row r="21" spans="2:8" x14ac:dyDescent="0.25">
      <c r="B21" s="5"/>
      <c r="C21" s="5"/>
      <c r="D21" s="5"/>
      <c r="E21" s="5"/>
      <c r="F21" s="79"/>
      <c r="G21" s="36"/>
      <c r="H21" s="37"/>
    </row>
    <row r="22" spans="2:8" ht="17.25" x14ac:dyDescent="0.25">
      <c r="B22" s="64" t="s">
        <v>147</v>
      </c>
      <c r="C22" s="5"/>
      <c r="D22" s="5"/>
      <c r="E22" s="5"/>
      <c r="F22" s="36"/>
      <c r="G22" s="36"/>
      <c r="H22" s="37"/>
    </row>
    <row r="23" spans="2:8" x14ac:dyDescent="0.25">
      <c r="C23" s="5"/>
      <c r="D23" s="5"/>
      <c r="E23" s="5"/>
      <c r="F23" s="36"/>
      <c r="G23" s="36"/>
      <c r="H23" s="37"/>
    </row>
    <row r="24" spans="2:8" x14ac:dyDescent="0.25">
      <c r="B24" s="5"/>
      <c r="C24" s="5"/>
      <c r="D24" s="5"/>
      <c r="E24" s="5"/>
      <c r="F24" s="36"/>
      <c r="G24" s="36"/>
      <c r="H24" s="37"/>
    </row>
    <row r="25" spans="2:8" ht="17.25" x14ac:dyDescent="0.3">
      <c r="B25" s="6"/>
      <c r="C25" s="6"/>
      <c r="D25" s="6"/>
      <c r="E25" s="6"/>
      <c r="F25" s="41"/>
      <c r="G25" s="41"/>
      <c r="H25" s="42"/>
    </row>
    <row r="26" spans="2:8" ht="17.25" x14ac:dyDescent="0.3">
      <c r="B26" s="6"/>
      <c r="C26" s="6"/>
      <c r="D26" s="6"/>
      <c r="E26" s="6"/>
      <c r="F26" s="41"/>
      <c r="G26" s="41"/>
      <c r="H26" s="42"/>
    </row>
    <row r="27" spans="2:8" ht="17.25" x14ac:dyDescent="0.3">
      <c r="B27" s="6"/>
      <c r="C27" s="6"/>
      <c r="D27" s="6"/>
      <c r="E27" s="6"/>
      <c r="F27" s="41"/>
      <c r="G27" s="41"/>
      <c r="H27" s="42"/>
    </row>
    <row r="28" spans="2:8" ht="17.25" x14ac:dyDescent="0.3">
      <c r="B28" s="6" t="s">
        <v>15</v>
      </c>
      <c r="G28" s="4"/>
    </row>
    <row r="29" spans="2:8" x14ac:dyDescent="0.25">
      <c r="B29" s="70" t="s">
        <v>16</v>
      </c>
      <c r="G29" s="4"/>
    </row>
    <row r="30" spans="2:8" x14ac:dyDescent="0.25">
      <c r="B30" s="7"/>
      <c r="C30" s="7"/>
      <c r="D30" s="7"/>
      <c r="E30" s="7"/>
      <c r="F30" s="8" t="str">
        <f>+F14</f>
        <v>4Q21</v>
      </c>
      <c r="G30" s="9" t="str">
        <f>+'Customer loans'!G32</f>
        <v>3Q21</v>
      </c>
      <c r="H30" s="9" t="s">
        <v>0</v>
      </c>
    </row>
    <row r="31" spans="2:8" x14ac:dyDescent="0.25">
      <c r="B31" s="19" t="s">
        <v>21</v>
      </c>
      <c r="C31" s="19"/>
      <c r="D31" s="19"/>
      <c r="E31" s="19"/>
      <c r="F31" s="20">
        <f t="shared" ref="F31:F36" si="0">+F15</f>
        <v>47516.159</v>
      </c>
      <c r="G31" s="25">
        <f>+'Customer loans'!G33</f>
        <v>46883.902999999998</v>
      </c>
      <c r="H31" s="34">
        <f>IF(ISERROR($F31/G31),"-",$F31/G31-1)</f>
        <v>1.3485566677330585E-2</v>
      </c>
    </row>
    <row r="32" spans="2:8" x14ac:dyDescent="0.25">
      <c r="B32" s="21" t="s">
        <v>120</v>
      </c>
      <c r="C32" s="21"/>
      <c r="D32" s="21"/>
      <c r="E32" s="21"/>
      <c r="F32" s="22">
        <f t="shared" si="0"/>
        <v>48245.495000000003</v>
      </c>
      <c r="G32" s="23">
        <f>+'Customer loans'!G34</f>
        <v>47663.106</v>
      </c>
      <c r="H32" s="39">
        <f>IF(ISERROR($F32/G32),"-",$F32/G32-1)</f>
        <v>1.221886378953152E-2</v>
      </c>
    </row>
    <row r="33" spans="2:8" x14ac:dyDescent="0.25">
      <c r="B33" s="19" t="s">
        <v>124</v>
      </c>
      <c r="C33" s="19"/>
      <c r="D33" s="19"/>
      <c r="E33" s="19"/>
      <c r="F33" s="20">
        <f t="shared" si="0"/>
        <v>918.74900000000002</v>
      </c>
      <c r="G33" s="25">
        <v>944.13499999999999</v>
      </c>
      <c r="H33" s="34">
        <f>IF(ISERROR($F33/G33),"-",$F33/G33-1)</f>
        <v>-2.6888103925815643E-2</v>
      </c>
    </row>
    <row r="34" spans="2:8" ht="15" customHeight="1" x14ac:dyDescent="0.25">
      <c r="B34" s="5" t="s">
        <v>145</v>
      </c>
      <c r="C34" s="5"/>
      <c r="D34" s="5"/>
      <c r="E34" s="5"/>
      <c r="F34" s="66">
        <f t="shared" si="0"/>
        <v>1.8572665518824354E-2</v>
      </c>
      <c r="G34" s="67">
        <v>1.9363904736546349E-2</v>
      </c>
      <c r="H34" s="68" t="str">
        <f>IF(ISERROR($F34-G34),"-",CONCATENATE((FIXED($F34-G34,4)*10000)," bp"))</f>
        <v>-8 bp</v>
      </c>
    </row>
    <row r="35" spans="2:8" x14ac:dyDescent="0.25">
      <c r="B35" s="19" t="s">
        <v>103</v>
      </c>
      <c r="C35" s="19"/>
      <c r="D35" s="19"/>
      <c r="E35" s="19"/>
      <c r="F35" s="20">
        <f t="shared" si="0"/>
        <v>754.20800000000008</v>
      </c>
      <c r="G35" s="25">
        <v>791.2650000000001</v>
      </c>
      <c r="H35" s="34">
        <f>IF(ISERROR($F35/G35),"-",$F35/G35-1)</f>
        <v>-4.6832603489349367E-2</v>
      </c>
    </row>
    <row r="36" spans="2:8" ht="15" customHeight="1" x14ac:dyDescent="0.25">
      <c r="B36" s="5" t="s">
        <v>146</v>
      </c>
      <c r="C36" s="5"/>
      <c r="D36" s="5"/>
      <c r="E36" s="5"/>
      <c r="F36" s="66">
        <f t="shared" si="0"/>
        <v>0.96330734911526716</v>
      </c>
      <c r="G36" s="67">
        <v>0.93543399434896934</v>
      </c>
      <c r="H36" s="68" t="str">
        <f>IF(ISERROR($F36-G36),"-",CONCATENATE((FIXED($F36-G36,4)*10000)," bp"))</f>
        <v>279 bp</v>
      </c>
    </row>
    <row r="37" spans="2:8" x14ac:dyDescent="0.25">
      <c r="B37" s="5"/>
    </row>
    <row r="38" spans="2:8" ht="17.25" x14ac:dyDescent="0.25">
      <c r="B38" s="64" t="s">
        <v>147</v>
      </c>
    </row>
    <row r="41" spans="2:8" x14ac:dyDescent="0.25">
      <c r="B41" s="5"/>
      <c r="C41" s="5"/>
      <c r="D41" s="5"/>
      <c r="E41" s="5"/>
      <c r="F41" s="36"/>
      <c r="G41" s="36"/>
      <c r="H41" s="37"/>
    </row>
    <row r="42" spans="2:8" x14ac:dyDescent="0.25">
      <c r="B42" s="5"/>
      <c r="C42" s="5"/>
      <c r="D42" s="5"/>
      <c r="E42" s="5"/>
      <c r="F42" s="36"/>
      <c r="G42" s="36"/>
      <c r="H42" s="37"/>
    </row>
    <row r="43" spans="2:8" x14ac:dyDescent="0.25">
      <c r="B43" s="5"/>
      <c r="C43" s="5"/>
      <c r="D43" s="5"/>
      <c r="E43" s="5"/>
      <c r="F43" s="36"/>
      <c r="G43" s="36"/>
      <c r="H43" s="37"/>
    </row>
    <row r="44" spans="2:8" x14ac:dyDescent="0.25">
      <c r="B44" s="5"/>
      <c r="C44" s="5"/>
      <c r="D44" s="5"/>
      <c r="E44" s="5"/>
      <c r="F44" s="36"/>
      <c r="G44" s="36"/>
      <c r="H44" s="37"/>
    </row>
    <row r="45" spans="2:8" x14ac:dyDescent="0.25">
      <c r="B45" s="5"/>
      <c r="C45" s="5"/>
      <c r="D45" s="5"/>
      <c r="E45" s="5"/>
      <c r="F45" s="36"/>
      <c r="G45" s="36"/>
      <c r="H45" s="37"/>
    </row>
    <row r="46" spans="2:8" x14ac:dyDescent="0.25">
      <c r="B46" s="5"/>
      <c r="C46" s="5"/>
      <c r="D46" s="5"/>
      <c r="E46" s="5"/>
      <c r="F46" s="36"/>
      <c r="G46" s="36"/>
      <c r="H46" s="37"/>
    </row>
    <row r="47" spans="2:8" x14ac:dyDescent="0.25">
      <c r="B47" s="5"/>
      <c r="C47" s="5"/>
      <c r="D47" s="5"/>
      <c r="E47" s="5"/>
      <c r="F47" s="36"/>
      <c r="G47" s="36"/>
      <c r="H47" s="37"/>
    </row>
    <row r="48" spans="2:8" x14ac:dyDescent="0.25">
      <c r="B48" s="5"/>
      <c r="C48" s="5"/>
      <c r="D48" s="5"/>
      <c r="E48" s="5"/>
      <c r="F48" s="36"/>
      <c r="G48" s="36"/>
      <c r="H48" s="37"/>
    </row>
    <row r="49" spans="2:8" x14ac:dyDescent="0.25">
      <c r="B49" s="5"/>
      <c r="C49" s="5"/>
      <c r="D49" s="5"/>
      <c r="E49" s="5"/>
      <c r="F49" s="36"/>
      <c r="G49" s="36"/>
      <c r="H49" s="37"/>
    </row>
    <row r="50" spans="2:8" x14ac:dyDescent="0.25">
      <c r="B50" s="5"/>
      <c r="C50" s="5"/>
      <c r="D50" s="5"/>
      <c r="E50" s="5"/>
      <c r="F50" s="36"/>
      <c r="G50" s="36"/>
      <c r="H50" s="37"/>
    </row>
    <row r="51" spans="2:8" x14ac:dyDescent="0.25">
      <c r="B51" s="5"/>
      <c r="C51" s="5"/>
      <c r="D51" s="5"/>
      <c r="E51" s="5"/>
      <c r="F51" s="36"/>
      <c r="G51" s="36"/>
      <c r="H51" s="37"/>
    </row>
    <row r="52" spans="2:8" x14ac:dyDescent="0.25">
      <c r="B52" s="5"/>
      <c r="C52" s="5"/>
      <c r="D52" s="5"/>
      <c r="E52" s="5"/>
      <c r="F52" s="36"/>
      <c r="G52" s="36"/>
      <c r="H52" s="37"/>
    </row>
    <row r="53" spans="2:8" x14ac:dyDescent="0.25">
      <c r="B53" s="5"/>
      <c r="C53" s="5"/>
      <c r="D53" s="5"/>
      <c r="E53" s="5"/>
      <c r="F53" s="36"/>
      <c r="G53" s="36"/>
      <c r="H53" s="37"/>
    </row>
    <row r="54" spans="2:8" x14ac:dyDescent="0.25">
      <c r="B54" s="5"/>
      <c r="C54" s="5"/>
      <c r="D54" s="5"/>
      <c r="E54" s="5"/>
      <c r="F54" s="36"/>
      <c r="G54" s="36"/>
      <c r="H54" s="37"/>
    </row>
    <row r="55" spans="2:8" x14ac:dyDescent="0.25">
      <c r="B55" s="5"/>
      <c r="C55" s="5"/>
      <c r="D55" s="5"/>
      <c r="E55" s="5"/>
      <c r="F55" s="36"/>
      <c r="G55" s="36"/>
      <c r="H55" s="37"/>
    </row>
    <row r="56" spans="2:8" x14ac:dyDescent="0.25">
      <c r="B56" s="5"/>
      <c r="C56" s="5"/>
      <c r="D56" s="5"/>
      <c r="E56" s="5"/>
      <c r="F56" s="36"/>
      <c r="G56" s="36"/>
      <c r="H56" s="37"/>
    </row>
    <row r="57" spans="2:8" x14ac:dyDescent="0.25">
      <c r="B57" s="5"/>
      <c r="C57" s="5"/>
      <c r="D57" s="5"/>
      <c r="E57" s="5"/>
      <c r="F57" s="36"/>
      <c r="G57" s="36"/>
      <c r="H57" s="37"/>
    </row>
    <row r="58" spans="2:8" x14ac:dyDescent="0.25">
      <c r="B58" s="5"/>
      <c r="C58" s="5"/>
      <c r="D58" s="5"/>
      <c r="E58" s="5"/>
      <c r="F58" s="36"/>
      <c r="G58" s="36"/>
      <c r="H58" s="37"/>
    </row>
    <row r="59" spans="2:8" x14ac:dyDescent="0.25">
      <c r="B59" s="5"/>
      <c r="C59" s="5"/>
      <c r="D59" s="5"/>
      <c r="E59" s="5"/>
      <c r="F59" s="36"/>
      <c r="G59" s="36"/>
      <c r="H59" s="37"/>
    </row>
    <row r="60" spans="2:8" x14ac:dyDescent="0.25">
      <c r="B60" s="5"/>
      <c r="C60" s="5"/>
      <c r="D60" s="5"/>
      <c r="E60" s="5"/>
      <c r="F60" s="36"/>
      <c r="G60" s="36"/>
      <c r="H60" s="37"/>
    </row>
    <row r="61" spans="2:8" x14ac:dyDescent="0.25">
      <c r="B61" s="5"/>
      <c r="C61" s="5"/>
      <c r="D61" s="5"/>
      <c r="E61" s="5"/>
      <c r="F61" s="36"/>
      <c r="G61" s="36"/>
      <c r="H61" s="37"/>
    </row>
    <row r="62" spans="2:8" x14ac:dyDescent="0.25">
      <c r="B62" s="5"/>
      <c r="C62" s="5"/>
      <c r="D62" s="5"/>
      <c r="E62" s="5"/>
      <c r="F62" s="36"/>
      <c r="G62" s="36"/>
      <c r="H62" s="37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6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125</v>
      </c>
    </row>
    <row r="12" spans="2:8" ht="17.25" x14ac:dyDescent="0.3">
      <c r="B12" s="6" t="s">
        <v>15</v>
      </c>
      <c r="G12" s="4"/>
    </row>
    <row r="13" spans="2:8" x14ac:dyDescent="0.25">
      <c r="B13" s="70" t="s">
        <v>16</v>
      </c>
      <c r="G13" s="4"/>
    </row>
    <row r="14" spans="2:8" ht="17.25" x14ac:dyDescent="0.25">
      <c r="B14" s="7"/>
      <c r="C14" s="7"/>
      <c r="D14" s="7"/>
      <c r="E14" s="7"/>
      <c r="F14" s="8" t="s">
        <v>155</v>
      </c>
      <c r="G14" s="9" t="s">
        <v>156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84">
        <v>2060</v>
      </c>
      <c r="G15" s="23">
        <v>2060</v>
      </c>
      <c r="H15" s="39">
        <f>IF(ISERROR($F15/G15),"-",ABS($F15)/ABS(G15)-1)</f>
        <v>0</v>
      </c>
    </row>
    <row r="16" spans="2:8" x14ac:dyDescent="0.25">
      <c r="B16" s="21" t="s">
        <v>126</v>
      </c>
      <c r="C16" s="21"/>
      <c r="D16" s="21"/>
      <c r="E16" s="21"/>
      <c r="F16" s="84">
        <v>3588.1480514668997</v>
      </c>
      <c r="G16" s="23">
        <v>3512.0072385650201</v>
      </c>
      <c r="H16" s="39">
        <f t="shared" ref="H16:H27" si="0">IF(ISERROR($F16/G16),"-",ABS($F16)/ABS(G16)-1)</f>
        <v>2.1680141221175342E-2</v>
      </c>
    </row>
    <row r="17" spans="2:8" x14ac:dyDescent="0.25">
      <c r="B17" s="21" t="s">
        <v>127</v>
      </c>
      <c r="C17" s="21"/>
      <c r="D17" s="21"/>
      <c r="E17" s="21"/>
      <c r="F17" s="84">
        <v>86.583200000000005</v>
      </c>
      <c r="G17" s="23">
        <v>72.1036</v>
      </c>
      <c r="H17" s="39">
        <f t="shared" si="0"/>
        <v>0.20081660277711522</v>
      </c>
    </row>
    <row r="18" spans="2:8" x14ac:dyDescent="0.25">
      <c r="B18" s="21" t="s">
        <v>142</v>
      </c>
      <c r="C18" s="21"/>
      <c r="D18" s="21"/>
      <c r="E18" s="21"/>
      <c r="F18" s="84">
        <v>-152.66302476000001</v>
      </c>
      <c r="G18" s="23">
        <v>-110.788003</v>
      </c>
      <c r="H18" s="39">
        <f t="shared" si="0"/>
        <v>0.37797433500087552</v>
      </c>
    </row>
    <row r="19" spans="2:8" x14ac:dyDescent="0.25">
      <c r="B19" s="21" t="s">
        <v>108</v>
      </c>
      <c r="C19" s="21"/>
      <c r="D19" s="21"/>
      <c r="E19" s="21"/>
      <c r="F19" s="84">
        <v>2.0652393356986529</v>
      </c>
      <c r="G19" s="23">
        <v>2.3590802805632047</v>
      </c>
      <c r="H19" s="39">
        <f t="shared" si="0"/>
        <v>-0.12455741641585871</v>
      </c>
    </row>
    <row r="20" spans="2:8" x14ac:dyDescent="0.25">
      <c r="B20" s="21" t="s">
        <v>107</v>
      </c>
      <c r="C20" s="21"/>
      <c r="D20" s="21"/>
      <c r="E20" s="21"/>
      <c r="F20" s="84">
        <v>561.28466160201731</v>
      </c>
      <c r="G20" s="23">
        <v>654.4094897904738</v>
      </c>
      <c r="H20" s="39">
        <f t="shared" si="0"/>
        <v>-0.14230360292952482</v>
      </c>
    </row>
    <row r="21" spans="2:8" x14ac:dyDescent="0.25">
      <c r="B21" s="21" t="s">
        <v>92</v>
      </c>
      <c r="C21" s="21"/>
      <c r="D21" s="21"/>
      <c r="E21" s="21"/>
      <c r="F21" s="84">
        <v>-354.76200012206851</v>
      </c>
      <c r="G21" s="23">
        <v>-322.47904030820388</v>
      </c>
      <c r="H21" s="39">
        <f t="shared" si="0"/>
        <v>0.10010870716748199</v>
      </c>
    </row>
    <row r="22" spans="2:8" x14ac:dyDescent="0.25">
      <c r="B22" s="21" t="s">
        <v>128</v>
      </c>
      <c r="C22" s="21"/>
      <c r="D22" s="21"/>
      <c r="E22" s="21"/>
      <c r="F22" s="84">
        <v>-455.69613389730671</v>
      </c>
      <c r="G22" s="23">
        <v>-476.12161008297136</v>
      </c>
      <c r="H22" s="39">
        <f t="shared" si="0"/>
        <v>-4.2899704094727431E-2</v>
      </c>
    </row>
    <row r="23" spans="2:8" x14ac:dyDescent="0.25">
      <c r="B23" s="5" t="s">
        <v>129</v>
      </c>
      <c r="C23" s="5"/>
      <c r="D23" s="5"/>
      <c r="E23" s="5"/>
      <c r="F23" s="86">
        <f>+SUM(F15:F22)</f>
        <v>5334.9599936252407</v>
      </c>
      <c r="G23" s="36">
        <f>+SUM(G15:G22)</f>
        <v>5391.4907552448822</v>
      </c>
      <c r="H23" s="61">
        <f t="shared" si="0"/>
        <v>-1.0485181962826884E-2</v>
      </c>
    </row>
    <row r="24" spans="2:8" x14ac:dyDescent="0.25">
      <c r="B24" s="5" t="s">
        <v>130</v>
      </c>
      <c r="C24" s="5"/>
      <c r="D24" s="5"/>
      <c r="E24" s="5"/>
      <c r="F24" s="86">
        <f>+F23</f>
        <v>5334.9599936252407</v>
      </c>
      <c r="G24" s="36">
        <f>+G23</f>
        <v>5391.4907552448822</v>
      </c>
      <c r="H24" s="61">
        <f t="shared" si="0"/>
        <v>-1.0485181962826884E-2</v>
      </c>
    </row>
    <row r="25" spans="2:8" x14ac:dyDescent="0.25">
      <c r="B25" s="5" t="s">
        <v>131</v>
      </c>
      <c r="C25" s="5"/>
      <c r="D25" s="5"/>
      <c r="E25" s="5"/>
      <c r="F25" s="86">
        <f>+F23</f>
        <v>5334.9599936252407</v>
      </c>
      <c r="G25" s="36">
        <f>+G23</f>
        <v>5391.4907552448822</v>
      </c>
      <c r="H25" s="61">
        <f t="shared" si="0"/>
        <v>-1.0485181962826884E-2</v>
      </c>
    </row>
    <row r="26" spans="2:8" x14ac:dyDescent="0.25">
      <c r="B26" s="5" t="s">
        <v>132</v>
      </c>
      <c r="C26" s="5"/>
      <c r="D26" s="5"/>
      <c r="E26" s="5"/>
      <c r="F26" s="86">
        <v>30171.202327547824</v>
      </c>
      <c r="G26" s="36">
        <v>30241.327959824826</v>
      </c>
      <c r="H26" s="61">
        <f t="shared" si="0"/>
        <v>-2.3188674905467721E-3</v>
      </c>
    </row>
    <row r="27" spans="2:8" x14ac:dyDescent="0.25">
      <c r="B27" s="21" t="s">
        <v>141</v>
      </c>
      <c r="C27" s="5"/>
      <c r="D27" s="5"/>
      <c r="E27" s="5"/>
      <c r="F27" s="84">
        <v>27908.850975475136</v>
      </c>
      <c r="G27" s="23">
        <v>28025.056738629271</v>
      </c>
      <c r="H27" s="39">
        <f t="shared" si="0"/>
        <v>-4.1464951967058461E-3</v>
      </c>
    </row>
    <row r="28" spans="2:8" ht="17.25" x14ac:dyDescent="0.3">
      <c r="B28" s="6" t="s">
        <v>133</v>
      </c>
      <c r="C28" s="6"/>
      <c r="D28" s="6"/>
      <c r="E28" s="6"/>
      <c r="F28" s="88">
        <f>+F23/F26</f>
        <v>0.176822916624511</v>
      </c>
      <c r="G28" s="41">
        <f>+G23/G26</f>
        <v>0.17828220911487092</v>
      </c>
      <c r="H28" s="42" t="str">
        <f>IF(ISERROR($F28-G28),"-",CONCATENATE((FIXED($F28-G28,4)*10000)," bp"))</f>
        <v>-15 bp</v>
      </c>
    </row>
    <row r="29" spans="2:8" ht="17.25" x14ac:dyDescent="0.3">
      <c r="B29" s="6" t="s">
        <v>134</v>
      </c>
      <c r="C29" s="6"/>
      <c r="D29" s="6"/>
      <c r="E29" s="6"/>
      <c r="F29" s="88">
        <f>+F24/F26</f>
        <v>0.176822916624511</v>
      </c>
      <c r="G29" s="41">
        <f>+G24/G26</f>
        <v>0.17828220911487092</v>
      </c>
      <c r="H29" s="42" t="str">
        <f>IF(ISERROR($F29-G29),"-",CONCATENATE((FIXED($F29-G29,4)*10000)," bp"))</f>
        <v>-15 bp</v>
      </c>
    </row>
    <row r="30" spans="2:8" ht="17.25" x14ac:dyDescent="0.3">
      <c r="B30" s="6" t="s">
        <v>135</v>
      </c>
      <c r="C30" s="6"/>
      <c r="D30" s="6"/>
      <c r="E30" s="6"/>
      <c r="F30" s="88">
        <f>+F25/F26</f>
        <v>0.176822916624511</v>
      </c>
      <c r="G30" s="41">
        <f>+G25/G26</f>
        <v>0.17828220911487092</v>
      </c>
      <c r="H30" s="42" t="str">
        <f>IF(ISERROR($F30-G30),"-",CONCATENATE((FIXED($F30-G30,4)*10000)," bp"))</f>
        <v>-15 bp</v>
      </c>
    </row>
    <row r="31" spans="2:8" ht="17.25" x14ac:dyDescent="0.3">
      <c r="B31" s="6" t="s">
        <v>38</v>
      </c>
      <c r="C31" s="6"/>
      <c r="D31" s="6"/>
      <c r="E31" s="6"/>
      <c r="F31" s="88">
        <v>8.5506280160635412E-2</v>
      </c>
      <c r="G31" s="41">
        <v>9.2298497136915916E-2</v>
      </c>
      <c r="H31" s="42" t="str">
        <f>IF(ISERROR($F31-G31),"-",CONCATENATE((FIXED($F31-G31,4)*10000)," bp"))</f>
        <v>-68 bp</v>
      </c>
    </row>
    <row r="32" spans="2:8" x14ac:dyDescent="0.25">
      <c r="B32" s="72" t="s">
        <v>8</v>
      </c>
      <c r="C32" s="21"/>
      <c r="D32" s="21"/>
      <c r="E32" s="21"/>
      <c r="F32" s="89"/>
      <c r="G32" s="21"/>
      <c r="H32" s="50"/>
    </row>
    <row r="33" spans="2:8" x14ac:dyDescent="0.25">
      <c r="B33" s="51" t="s">
        <v>136</v>
      </c>
      <c r="C33" s="52"/>
      <c r="D33" s="52"/>
      <c r="E33" s="52"/>
      <c r="F33" s="90">
        <v>0.17272608814639467</v>
      </c>
      <c r="G33" s="71">
        <v>0.17443817509659157</v>
      </c>
      <c r="H33" s="54" t="str">
        <f>IF(ISERROR($F33-G33),"-",CONCATENATE((FIXED($F33-G33,4)*10000)," bp"))</f>
        <v>-17 bp</v>
      </c>
    </row>
    <row r="34" spans="2:8" x14ac:dyDescent="0.25">
      <c r="B34" s="72" t="s">
        <v>137</v>
      </c>
      <c r="C34" s="21"/>
      <c r="D34" s="21"/>
      <c r="E34" s="21"/>
      <c r="F34" s="82">
        <v>0.17272608814639467</v>
      </c>
      <c r="G34" s="56">
        <v>0.17443817509659157</v>
      </c>
      <c r="H34" s="57" t="str">
        <f>IF(ISERROR($F34-G34),"-",CONCATENATE((FIXED($F34-G34,4)*10000)," bp"))</f>
        <v>-17 bp</v>
      </c>
    </row>
    <row r="35" spans="2:8" x14ac:dyDescent="0.25">
      <c r="B35" s="72" t="s">
        <v>138</v>
      </c>
      <c r="C35" s="21"/>
      <c r="D35" s="21"/>
      <c r="E35" s="21"/>
      <c r="F35" s="82">
        <v>8.364137298690548E-2</v>
      </c>
      <c r="G35" s="56">
        <v>9.0188302164609144E-2</v>
      </c>
      <c r="H35" s="57" t="str">
        <f>IF(ISERROR($F35-G35),"-",CONCATENATE((FIXED($F35-G35,4)*10000)," bp"))</f>
        <v>-65 bp</v>
      </c>
    </row>
    <row r="36" spans="2:8" x14ac:dyDescent="0.25">
      <c r="B36" s="48"/>
      <c r="C36" s="21"/>
      <c r="D36" s="21"/>
      <c r="E36" s="21"/>
      <c r="F36" s="56"/>
      <c r="G36" s="56"/>
      <c r="H36" s="57"/>
    </row>
    <row r="37" spans="2:8" ht="17.25" x14ac:dyDescent="0.25">
      <c r="B37" s="64" t="s">
        <v>144</v>
      </c>
      <c r="C37" s="21"/>
      <c r="D37" s="21"/>
      <c r="E37" s="21"/>
      <c r="F37" s="56"/>
      <c r="G37" s="56"/>
      <c r="H37" s="57"/>
    </row>
    <row r="38" spans="2:8" x14ac:dyDescent="0.25">
      <c r="B38" s="64"/>
      <c r="C38" s="21"/>
      <c r="D38" s="21"/>
      <c r="E38" s="21"/>
      <c r="F38" s="56"/>
      <c r="G38" s="56"/>
      <c r="H38" s="57"/>
    </row>
    <row r="41" spans="2:8" ht="17.25" x14ac:dyDescent="0.3">
      <c r="B41" s="6" t="s">
        <v>31</v>
      </c>
      <c r="G41" s="4"/>
    </row>
    <row r="42" spans="2:8" x14ac:dyDescent="0.25">
      <c r="B42" s="70" t="s">
        <v>16</v>
      </c>
      <c r="G42" s="4"/>
    </row>
    <row r="43" spans="2:8" ht="17.25" x14ac:dyDescent="0.25">
      <c r="B43" s="7"/>
      <c r="C43" s="7"/>
      <c r="D43" s="7"/>
      <c r="E43" s="7"/>
      <c r="F43" s="8" t="s">
        <v>155</v>
      </c>
      <c r="G43" s="9" t="s">
        <v>153</v>
      </c>
      <c r="H43" s="9" t="s">
        <v>0</v>
      </c>
    </row>
    <row r="44" spans="2:8" x14ac:dyDescent="0.25">
      <c r="B44" s="21" t="s">
        <v>7</v>
      </c>
      <c r="C44" s="21"/>
      <c r="D44" s="21"/>
      <c r="E44" s="21"/>
      <c r="F44" s="22">
        <f t="shared" ref="F44:F60" si="1">+F15</f>
        <v>2060</v>
      </c>
      <c r="G44" s="23">
        <v>2060</v>
      </c>
      <c r="H44" s="39">
        <f>IF(ISERROR($F44/G44),"-",ABS($F44)/ABS(G44)-1)</f>
        <v>0</v>
      </c>
    </row>
    <row r="45" spans="2:8" x14ac:dyDescent="0.25">
      <c r="B45" s="21" t="s">
        <v>126</v>
      </c>
      <c r="C45" s="21"/>
      <c r="D45" s="21"/>
      <c r="E45" s="21"/>
      <c r="F45" s="22">
        <f t="shared" si="1"/>
        <v>3588.1480514668997</v>
      </c>
      <c r="G45" s="23">
        <v>3641.3076813837006</v>
      </c>
      <c r="H45" s="39">
        <f t="shared" ref="H45:H56" si="2">IF(ISERROR($F45/G45),"-",ABS($F45)/ABS(G45)-1)</f>
        <v>-1.4599049179112589E-2</v>
      </c>
    </row>
    <row r="46" spans="2:8" x14ac:dyDescent="0.25">
      <c r="B46" s="21" t="s">
        <v>127</v>
      </c>
      <c r="C46" s="21"/>
      <c r="D46" s="21"/>
      <c r="E46" s="21"/>
      <c r="F46" s="22">
        <f t="shared" si="1"/>
        <v>86.583200000000005</v>
      </c>
      <c r="G46" s="23">
        <v>70.522800000000004</v>
      </c>
      <c r="H46" s="39">
        <f t="shared" si="2"/>
        <v>0.22773344223428449</v>
      </c>
    </row>
    <row r="47" spans="2:8" x14ac:dyDescent="0.25">
      <c r="B47" s="21" t="s">
        <v>142</v>
      </c>
      <c r="C47" s="21"/>
      <c r="D47" s="21"/>
      <c r="E47" s="21"/>
      <c r="F47" s="22">
        <f t="shared" si="1"/>
        <v>-152.66302476000001</v>
      </c>
      <c r="G47" s="23">
        <v>-114.2023663399998</v>
      </c>
      <c r="H47" s="39">
        <f t="shared" si="2"/>
        <v>0.33677637033803931</v>
      </c>
    </row>
    <row r="48" spans="2:8" x14ac:dyDescent="0.25">
      <c r="B48" s="21" t="s">
        <v>108</v>
      </c>
      <c r="C48" s="21"/>
      <c r="D48" s="21"/>
      <c r="E48" s="21"/>
      <c r="F48" s="22">
        <f t="shared" si="1"/>
        <v>2.0652393356986529</v>
      </c>
      <c r="G48" s="23">
        <v>2.7217742551700472</v>
      </c>
      <c r="H48" s="39">
        <f t="shared" si="2"/>
        <v>-0.2412157871742292</v>
      </c>
    </row>
    <row r="49" spans="2:8" x14ac:dyDescent="0.25">
      <c r="B49" s="21" t="s">
        <v>107</v>
      </c>
      <c r="C49" s="21"/>
      <c r="D49" s="21"/>
      <c r="E49" s="21"/>
      <c r="F49" s="22">
        <f t="shared" si="1"/>
        <v>561.28466160201731</v>
      </c>
      <c r="G49" s="23">
        <v>453.13184361573701</v>
      </c>
      <c r="H49" s="39">
        <f t="shared" si="2"/>
        <v>0.23867847627587091</v>
      </c>
    </row>
    <row r="50" spans="2:8" x14ac:dyDescent="0.25">
      <c r="B50" s="21" t="s">
        <v>92</v>
      </c>
      <c r="C50" s="21"/>
      <c r="D50" s="21"/>
      <c r="E50" s="21"/>
      <c r="F50" s="22">
        <f t="shared" si="1"/>
        <v>-354.76200012206851</v>
      </c>
      <c r="G50" s="23">
        <v>-341.32584730241877</v>
      </c>
      <c r="H50" s="39">
        <f t="shared" si="2"/>
        <v>3.9364592297474577E-2</v>
      </c>
    </row>
    <row r="51" spans="2:8" x14ac:dyDescent="0.25">
      <c r="B51" s="21" t="s">
        <v>128</v>
      </c>
      <c r="C51" s="21"/>
      <c r="D51" s="21"/>
      <c r="E51" s="21"/>
      <c r="F51" s="22">
        <f t="shared" si="1"/>
        <v>-455.69613389730671</v>
      </c>
      <c r="G51" s="23">
        <v>-486.39124884702966</v>
      </c>
      <c r="H51" s="39">
        <f t="shared" si="2"/>
        <v>-6.3107868454632898E-2</v>
      </c>
    </row>
    <row r="52" spans="2:8" x14ac:dyDescent="0.25">
      <c r="B52" s="5" t="s">
        <v>129</v>
      </c>
      <c r="C52" s="5"/>
      <c r="D52" s="5"/>
      <c r="E52" s="5"/>
      <c r="F52" s="17">
        <f t="shared" si="1"/>
        <v>5334.9599936252407</v>
      </c>
      <c r="G52" s="36">
        <f>+SUM(G44:G51)</f>
        <v>5285.7646367651596</v>
      </c>
      <c r="H52" s="61">
        <f t="shared" si="2"/>
        <v>9.3071410175744607E-3</v>
      </c>
    </row>
    <row r="53" spans="2:8" x14ac:dyDescent="0.25">
      <c r="B53" s="5" t="s">
        <v>130</v>
      </c>
      <c r="C53" s="5"/>
      <c r="D53" s="5"/>
      <c r="E53" s="5"/>
      <c r="F53" s="17">
        <f t="shared" si="1"/>
        <v>5334.9599936252407</v>
      </c>
      <c r="G53" s="36">
        <f>+G52</f>
        <v>5285.7646367651596</v>
      </c>
      <c r="H53" s="61">
        <f t="shared" si="2"/>
        <v>9.3071410175744607E-3</v>
      </c>
    </row>
    <row r="54" spans="2:8" x14ac:dyDescent="0.25">
      <c r="B54" s="5" t="s">
        <v>131</v>
      </c>
      <c r="C54" s="5"/>
      <c r="D54" s="5"/>
      <c r="E54" s="5"/>
      <c r="F54" s="17">
        <f t="shared" si="1"/>
        <v>5334.9599936252407</v>
      </c>
      <c r="G54" s="36">
        <f>+G52</f>
        <v>5285.7646367651596</v>
      </c>
      <c r="H54" s="61">
        <f t="shared" si="2"/>
        <v>9.3071410175744607E-3</v>
      </c>
    </row>
    <row r="55" spans="2:8" x14ac:dyDescent="0.25">
      <c r="B55" s="5" t="s">
        <v>132</v>
      </c>
      <c r="C55" s="5"/>
      <c r="D55" s="5"/>
      <c r="E55" s="5"/>
      <c r="F55" s="17">
        <f t="shared" si="1"/>
        <v>30171.202327547824</v>
      </c>
      <c r="G55" s="36">
        <v>30004.397688148674</v>
      </c>
      <c r="H55" s="61">
        <f t="shared" si="2"/>
        <v>5.5593397052271509E-3</v>
      </c>
    </row>
    <row r="56" spans="2:8" x14ac:dyDescent="0.25">
      <c r="B56" s="21" t="s">
        <v>141</v>
      </c>
      <c r="C56" s="5"/>
      <c r="D56" s="5"/>
      <c r="E56" s="5"/>
      <c r="F56" s="22">
        <f t="shared" si="1"/>
        <v>27908.850975475136</v>
      </c>
      <c r="G56" s="23">
        <v>27778.159588148672</v>
      </c>
      <c r="H56" s="39">
        <f t="shared" si="2"/>
        <v>4.7048252751136221E-3</v>
      </c>
    </row>
    <row r="57" spans="2:8" ht="17.25" x14ac:dyDescent="0.3">
      <c r="B57" s="6" t="s">
        <v>133</v>
      </c>
      <c r="C57" s="6"/>
      <c r="D57" s="6"/>
      <c r="E57" s="6"/>
      <c r="F57" s="40">
        <f t="shared" si="1"/>
        <v>0.176822916624511</v>
      </c>
      <c r="G57" s="41">
        <f>+G52/G55</f>
        <v>0.17616633040605792</v>
      </c>
      <c r="H57" s="42" t="str">
        <f>IF(ISERROR($F57-G57),"-",CONCATENATE((FIXED($F57-G57,4)*10000)," bp"))</f>
        <v>7 bp</v>
      </c>
    </row>
    <row r="58" spans="2:8" ht="17.25" x14ac:dyDescent="0.3">
      <c r="B58" s="6" t="s">
        <v>134</v>
      </c>
      <c r="C58" s="6"/>
      <c r="D58" s="6"/>
      <c r="E58" s="6"/>
      <c r="F58" s="40">
        <f t="shared" si="1"/>
        <v>0.176822916624511</v>
      </c>
      <c r="G58" s="41">
        <f>+G53/G55</f>
        <v>0.17616633040605792</v>
      </c>
      <c r="H58" s="42" t="str">
        <f>IF(ISERROR($F58-G58),"-",CONCATENATE((FIXED($F58-G58,4)*10000)," bp"))</f>
        <v>7 bp</v>
      </c>
    </row>
    <row r="59" spans="2:8" ht="17.25" x14ac:dyDescent="0.3">
      <c r="B59" s="6" t="s">
        <v>135</v>
      </c>
      <c r="C59" s="6"/>
      <c r="D59" s="6"/>
      <c r="E59" s="6"/>
      <c r="F59" s="40">
        <f t="shared" si="1"/>
        <v>0.176822916624511</v>
      </c>
      <c r="G59" s="41">
        <f>+G54/G55</f>
        <v>0.17616633040605792</v>
      </c>
      <c r="H59" s="42" t="str">
        <f>IF(ISERROR($F59-G59),"-",CONCATENATE((FIXED($F59-G59,4)*10000)," bp"))</f>
        <v>7 bp</v>
      </c>
    </row>
    <row r="60" spans="2:8" ht="17.25" x14ac:dyDescent="0.3">
      <c r="B60" s="6" t="s">
        <v>38</v>
      </c>
      <c r="C60" s="6"/>
      <c r="D60" s="6"/>
      <c r="E60" s="6"/>
      <c r="F60" s="40">
        <f t="shared" si="1"/>
        <v>8.5506280160635412E-2</v>
      </c>
      <c r="G60" s="41">
        <v>8.5187301561239076E-2</v>
      </c>
      <c r="H60" s="42" t="str">
        <f>IF(ISERROR($F60-G60),"-",CONCATENATE((FIXED($F60-G60,4)*10000)," bp"))</f>
        <v>3 bp</v>
      </c>
    </row>
    <row r="61" spans="2:8" x14ac:dyDescent="0.25">
      <c r="B61" s="72" t="s">
        <v>8</v>
      </c>
      <c r="C61" s="21"/>
      <c r="D61" s="21"/>
      <c r="E61" s="21"/>
      <c r="F61" s="49"/>
      <c r="G61" s="21"/>
      <c r="H61" s="50"/>
    </row>
    <row r="62" spans="2:8" x14ac:dyDescent="0.25">
      <c r="B62" s="51" t="s">
        <v>136</v>
      </c>
      <c r="C62" s="52"/>
      <c r="D62" s="52"/>
      <c r="E62" s="52"/>
      <c r="F62" s="53">
        <f>+F33</f>
        <v>0.17272608814639467</v>
      </c>
      <c r="G62" s="71">
        <v>0.17183961460611433</v>
      </c>
      <c r="H62" s="54" t="str">
        <f>IF(ISERROR($F62-G62),"-",CONCATENATE((FIXED($F62-G62,4)*10000)," bp"))</f>
        <v>9 bp</v>
      </c>
    </row>
    <row r="63" spans="2:8" x14ac:dyDescent="0.25">
      <c r="B63" s="72" t="s">
        <v>137</v>
      </c>
      <c r="C63" s="21"/>
      <c r="D63" s="21"/>
      <c r="E63" s="21"/>
      <c r="F63" s="55">
        <f>+F34</f>
        <v>0.17272608814639467</v>
      </c>
      <c r="G63" s="56">
        <v>0.17183961460611433</v>
      </c>
      <c r="H63" s="57" t="str">
        <f>IF(ISERROR($F63-G63),"-",CONCATENATE((FIXED($F63-G63,4)*10000)," bp"))</f>
        <v>9 bp</v>
      </c>
    </row>
    <row r="64" spans="2:8" x14ac:dyDescent="0.25">
      <c r="B64" s="72" t="s">
        <v>138</v>
      </c>
      <c r="C64" s="21"/>
      <c r="D64" s="21"/>
      <c r="E64" s="21"/>
      <c r="F64" s="55">
        <f>+F35</f>
        <v>8.364137298690548E-2</v>
      </c>
      <c r="G64" s="56">
        <v>8.3217904135207105E-2</v>
      </c>
      <c r="H64" s="57" t="str">
        <f>IF(ISERROR($F64-G64),"-",CONCATENATE((FIXED($F64-G64,4)*10000)," bp"))</f>
        <v>4 bp</v>
      </c>
    </row>
    <row r="65" spans="2:8" x14ac:dyDescent="0.25">
      <c r="B65" s="48"/>
      <c r="C65" s="21"/>
      <c r="D65" s="21"/>
      <c r="E65" s="21"/>
      <c r="F65" s="56"/>
      <c r="G65" s="56"/>
      <c r="H65" s="57"/>
    </row>
    <row r="66" spans="2:8" ht="17.25" x14ac:dyDescent="0.25">
      <c r="B66" s="64" t="s">
        <v>144</v>
      </c>
      <c r="C66" s="21"/>
      <c r="D66" s="21"/>
      <c r="E66" s="21"/>
      <c r="F66" s="56"/>
      <c r="G66" s="56"/>
      <c r="H66" s="57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14</v>
      </c>
    </row>
    <row r="12" spans="2:7" ht="17.25" x14ac:dyDescent="0.3">
      <c r="B12" s="6" t="s">
        <v>15</v>
      </c>
      <c r="F12" s="4"/>
    </row>
    <row r="13" spans="2:7" x14ac:dyDescent="0.25">
      <c r="B13" s="70" t="s">
        <v>16</v>
      </c>
      <c r="F13" s="4"/>
    </row>
    <row r="14" spans="2:7" x14ac:dyDescent="0.25">
      <c r="B14" s="7"/>
      <c r="C14" s="7"/>
      <c r="D14" s="7"/>
      <c r="E14" s="8" t="str">
        <f>+'Balance sheet'!F14</f>
        <v>4Q21</v>
      </c>
      <c r="F14" s="9" t="str">
        <f>+'Balance sheet'!G14</f>
        <v>4Q20</v>
      </c>
      <c r="G14" s="9" t="s">
        <v>0</v>
      </c>
    </row>
    <row r="15" spans="2:7" s="5" customFormat="1" x14ac:dyDescent="0.25">
      <c r="B15" s="58" t="s">
        <v>17</v>
      </c>
      <c r="C15" s="58"/>
      <c r="D15" s="58"/>
      <c r="E15" s="45">
        <f>+'Balance sheet'!F39</f>
        <v>65804.675999999992</v>
      </c>
      <c r="F15" s="43">
        <f>+'Balance sheet'!G39</f>
        <v>63779.530000000006</v>
      </c>
      <c r="G15" s="37">
        <f>IF(ISERROR($E15/F15),"-",ABS($E15)/ABS(F15)-1)</f>
        <v>3.1752287920591149E-2</v>
      </c>
    </row>
    <row r="16" spans="2:7" x14ac:dyDescent="0.25">
      <c r="B16" s="1" t="s">
        <v>18</v>
      </c>
      <c r="C16" s="19"/>
      <c r="D16" s="19"/>
      <c r="E16" s="46">
        <v>5823.7279999999992</v>
      </c>
      <c r="F16" s="28">
        <v>5117.6779999999999</v>
      </c>
      <c r="G16" s="34">
        <f t="shared" ref="G16:G28" si="0">IF(ISERROR($E16/F16),"-",ABS($E16)/ABS(F16)-1)</f>
        <v>0.13796295898256972</v>
      </c>
    </row>
    <row r="17" spans="2:7" x14ac:dyDescent="0.25">
      <c r="B17" s="1" t="s">
        <v>19</v>
      </c>
      <c r="E17" s="46">
        <f>+'Balance sheet'!F18+'Balance sheet'!F21+'Balance sheet'!F24</f>
        <v>1494.537</v>
      </c>
      <c r="F17" s="28">
        <f>+'Balance sheet'!G18+'Balance sheet'!G21+'Balance sheet'!G24</f>
        <v>1939.864</v>
      </c>
      <c r="G17" s="34">
        <f t="shared" si="0"/>
        <v>-0.22956609329313804</v>
      </c>
    </row>
    <row r="18" spans="2:7" x14ac:dyDescent="0.25">
      <c r="B18" s="1" t="s">
        <v>20</v>
      </c>
      <c r="E18" s="46">
        <f>+'Balance sheet'!F33</f>
        <v>169.42500000000001</v>
      </c>
      <c r="F18" s="73">
        <f>+'Balance sheet'!$G$33</f>
        <v>174.714</v>
      </c>
      <c r="G18" s="34">
        <f t="shared" si="0"/>
        <v>-3.0272330780589884E-2</v>
      </c>
    </row>
    <row r="19" spans="2:7" s="5" customFormat="1" x14ac:dyDescent="0.25">
      <c r="B19" s="5" t="s">
        <v>21</v>
      </c>
      <c r="E19" s="45">
        <f>+'Balance sheet'!F29</f>
        <v>47516.159</v>
      </c>
      <c r="F19" s="74">
        <f>+'Balance sheet'!$G$29</f>
        <v>44261.675000000003</v>
      </c>
      <c r="G19" s="37">
        <f t="shared" si="0"/>
        <v>7.3528261187584931E-2</v>
      </c>
    </row>
    <row r="20" spans="2:7" x14ac:dyDescent="0.25">
      <c r="B20" s="1" t="s">
        <v>22</v>
      </c>
      <c r="E20" s="81">
        <v>2232.7489999999998</v>
      </c>
      <c r="F20" s="73">
        <v>2832.7730000000001</v>
      </c>
      <c r="G20" s="34">
        <f t="shared" si="0"/>
        <v>-0.21181506601482025</v>
      </c>
    </row>
    <row r="21" spans="2:7" s="21" customFormat="1" x14ac:dyDescent="0.25">
      <c r="B21" s="21" t="s">
        <v>23</v>
      </c>
      <c r="E21" s="22">
        <v>0</v>
      </c>
      <c r="F21" s="75">
        <v>0</v>
      </c>
      <c r="G21" s="34" t="str">
        <f t="shared" si="0"/>
        <v>-</v>
      </c>
    </row>
    <row r="22" spans="2:7" x14ac:dyDescent="0.25">
      <c r="B22" s="5" t="s">
        <v>24</v>
      </c>
      <c r="C22" s="5"/>
      <c r="D22" s="5"/>
      <c r="E22" s="45">
        <f>+'Balance sheet'!$F$44</f>
        <v>47945.203000000001</v>
      </c>
      <c r="F22" s="74">
        <f>+'Balance sheet'!$G$44</f>
        <v>46356.345000000001</v>
      </c>
      <c r="G22" s="37">
        <f t="shared" si="0"/>
        <v>3.427487650288219E-2</v>
      </c>
    </row>
    <row r="23" spans="2:7" s="5" customFormat="1" x14ac:dyDescent="0.25">
      <c r="B23" s="21" t="s">
        <v>25</v>
      </c>
      <c r="C23" s="21"/>
      <c r="D23" s="21"/>
      <c r="E23" s="81">
        <v>827.25787122000008</v>
      </c>
      <c r="F23" s="76">
        <v>860.41496284000004</v>
      </c>
      <c r="G23" s="34">
        <f t="shared" si="0"/>
        <v>-3.8536163423468661E-2</v>
      </c>
    </row>
    <row r="24" spans="2:7" x14ac:dyDescent="0.25">
      <c r="B24" s="52" t="s">
        <v>26</v>
      </c>
      <c r="C24" s="52"/>
      <c r="D24" s="52"/>
      <c r="E24" s="59">
        <f>+E22-E23</f>
        <v>47117.945128780004</v>
      </c>
      <c r="F24" s="77">
        <f>+F22-F23</f>
        <v>45495.930037160004</v>
      </c>
      <c r="G24" s="37">
        <f t="shared" si="0"/>
        <v>3.5651872382764349E-2</v>
      </c>
    </row>
    <row r="25" spans="2:7" s="19" customFormat="1" x14ac:dyDescent="0.25">
      <c r="B25" s="1" t="s">
        <v>27</v>
      </c>
      <c r="C25" s="1"/>
      <c r="D25" s="1"/>
      <c r="E25" s="81">
        <v>28706.44204767</v>
      </c>
      <c r="F25" s="73">
        <v>24633.853393799996</v>
      </c>
      <c r="G25" s="34">
        <f t="shared" si="0"/>
        <v>0.16532487178376321</v>
      </c>
    </row>
    <row r="26" spans="2:7" x14ac:dyDescent="0.25">
      <c r="B26" s="5" t="s">
        <v>28</v>
      </c>
      <c r="C26" s="5"/>
      <c r="D26" s="5"/>
      <c r="E26" s="45">
        <f>+E24+E25</f>
        <v>75824.387176450007</v>
      </c>
      <c r="F26" s="74">
        <f>+F24+F25</f>
        <v>70129.78343096</v>
      </c>
      <c r="G26" s="37">
        <f t="shared" si="0"/>
        <v>8.1200931571336232E-2</v>
      </c>
    </row>
    <row r="27" spans="2:7" s="5" customFormat="1" x14ac:dyDescent="0.25">
      <c r="B27" s="1" t="s">
        <v>29</v>
      </c>
      <c r="C27" s="1"/>
      <c r="D27" s="1"/>
      <c r="E27" s="81">
        <v>124058.83417645001</v>
      </c>
      <c r="F27" s="73">
        <v>115117.05343095999</v>
      </c>
      <c r="G27" s="34">
        <f t="shared" si="0"/>
        <v>7.7675552656954805E-2</v>
      </c>
    </row>
    <row r="28" spans="2:7" x14ac:dyDescent="0.25">
      <c r="B28" s="5" t="s">
        <v>30</v>
      </c>
      <c r="C28" s="5"/>
      <c r="D28" s="5"/>
      <c r="E28" s="45">
        <f>+'Balance sheet'!F53</f>
        <v>5802.0450000000001</v>
      </c>
      <c r="F28" s="74">
        <f>+'Balance sheet'!$G$53</f>
        <v>5626.45</v>
      </c>
      <c r="G28" s="37">
        <f t="shared" si="0"/>
        <v>3.1208843942450493E-2</v>
      </c>
    </row>
    <row r="29" spans="2:7" x14ac:dyDescent="0.25">
      <c r="E29" s="12"/>
    </row>
    <row r="34" spans="2:7" ht="17.25" x14ac:dyDescent="0.3">
      <c r="B34" s="6" t="s">
        <v>31</v>
      </c>
      <c r="F34" s="4"/>
    </row>
    <row r="35" spans="2:7" x14ac:dyDescent="0.25">
      <c r="B35" s="70" t="s">
        <v>16</v>
      </c>
      <c r="F35" s="4"/>
    </row>
    <row r="36" spans="2:7" x14ac:dyDescent="0.25">
      <c r="B36" s="7"/>
      <c r="C36" s="7"/>
      <c r="D36" s="7"/>
      <c r="E36" s="8" t="str">
        <f>+E14</f>
        <v>4Q21</v>
      </c>
      <c r="F36" s="9" t="str">
        <f>+'Balance sheet'!$I$14</f>
        <v>3Q21</v>
      </c>
      <c r="G36" s="9" t="s">
        <v>0</v>
      </c>
    </row>
    <row r="37" spans="2:7" x14ac:dyDescent="0.25">
      <c r="B37" s="58" t="s">
        <v>17</v>
      </c>
      <c r="C37" s="58"/>
      <c r="D37" s="58"/>
      <c r="E37" s="45">
        <f>+E15</f>
        <v>65804.675999999992</v>
      </c>
      <c r="F37" s="43">
        <f>+'Balance sheet'!I39</f>
        <v>64074.358999999989</v>
      </c>
      <c r="G37" s="37">
        <f>IF(ISERROR($E37/F37),"-",ABS($E37)/ABS(F37)-1)</f>
        <v>2.7004827313215962E-2</v>
      </c>
    </row>
    <row r="38" spans="2:7" x14ac:dyDescent="0.25">
      <c r="B38" s="1" t="s">
        <v>18</v>
      </c>
      <c r="C38" s="19"/>
      <c r="D38" s="19"/>
      <c r="E38" s="46">
        <f t="shared" ref="E38:E50" si="1">+E16</f>
        <v>5823.7279999999992</v>
      </c>
      <c r="F38" s="28">
        <v>5885.6929999999993</v>
      </c>
      <c r="G38" s="34">
        <f t="shared" ref="G38:G50" si="2">IF(ISERROR($E38/F38),"-",ABS($E38)/ABS(F38)-1)</f>
        <v>-1.052807205540629E-2</v>
      </c>
    </row>
    <row r="39" spans="2:7" x14ac:dyDescent="0.25">
      <c r="B39" s="1" t="s">
        <v>19</v>
      </c>
      <c r="E39" s="46">
        <f t="shared" si="1"/>
        <v>1494.537</v>
      </c>
      <c r="F39" s="28">
        <f>+'Balance sheet'!I18+'Balance sheet'!I21+'Balance sheet'!$I$24</f>
        <v>1311.7359999999999</v>
      </c>
      <c r="G39" s="34">
        <f t="shared" si="2"/>
        <v>0.13935807205108364</v>
      </c>
    </row>
    <row r="40" spans="2:7" x14ac:dyDescent="0.25">
      <c r="B40" s="1" t="s">
        <v>20</v>
      </c>
      <c r="E40" s="46">
        <f t="shared" si="1"/>
        <v>169.42500000000001</v>
      </c>
      <c r="F40" s="28">
        <f>+'Balance sheet'!$I$33</f>
        <v>175.39599999999999</v>
      </c>
      <c r="G40" s="34">
        <f t="shared" si="2"/>
        <v>-3.4042965632055333E-2</v>
      </c>
    </row>
    <row r="41" spans="2:7" x14ac:dyDescent="0.25">
      <c r="B41" s="5" t="s">
        <v>21</v>
      </c>
      <c r="C41" s="5"/>
      <c r="D41" s="5"/>
      <c r="E41" s="45">
        <f t="shared" si="1"/>
        <v>47516.159</v>
      </c>
      <c r="F41" s="43">
        <f>+'Balance sheet'!$I$29</f>
        <v>46883.902999999998</v>
      </c>
      <c r="G41" s="37">
        <f t="shared" si="2"/>
        <v>1.3485566677330585E-2</v>
      </c>
    </row>
    <row r="42" spans="2:7" x14ac:dyDescent="0.25">
      <c r="B42" s="1" t="s">
        <v>22</v>
      </c>
      <c r="E42" s="46">
        <f t="shared" si="1"/>
        <v>2232.7489999999998</v>
      </c>
      <c r="F42" s="28">
        <v>1745.818</v>
      </c>
      <c r="G42" s="34">
        <f t="shared" si="2"/>
        <v>0.27891280763516013</v>
      </c>
    </row>
    <row r="43" spans="2:7" s="21" customFormat="1" x14ac:dyDescent="0.25">
      <c r="B43" s="21" t="s">
        <v>23</v>
      </c>
      <c r="E43" s="22">
        <f t="shared" si="1"/>
        <v>0</v>
      </c>
      <c r="F43" s="23">
        <v>0</v>
      </c>
      <c r="G43" s="34" t="str">
        <f t="shared" si="2"/>
        <v>-</v>
      </c>
    </row>
    <row r="44" spans="2:7" x14ac:dyDescent="0.25">
      <c r="B44" s="5" t="s">
        <v>24</v>
      </c>
      <c r="C44" s="5"/>
      <c r="D44" s="5"/>
      <c r="E44" s="45">
        <f t="shared" si="1"/>
        <v>47945.203000000001</v>
      </c>
      <c r="F44" s="43">
        <f>+'Balance sheet'!$I$44</f>
        <v>47044.087</v>
      </c>
      <c r="G44" s="37">
        <f t="shared" si="2"/>
        <v>1.9154713322420358E-2</v>
      </c>
    </row>
    <row r="45" spans="2:7" x14ac:dyDescent="0.25">
      <c r="B45" s="21" t="s">
        <v>25</v>
      </c>
      <c r="C45" s="21"/>
      <c r="D45" s="21"/>
      <c r="E45" s="47">
        <f t="shared" si="1"/>
        <v>827.25787122000008</v>
      </c>
      <c r="F45" s="44">
        <v>840.33214895000003</v>
      </c>
      <c r="G45" s="34">
        <f t="shared" si="2"/>
        <v>-1.5558464288598639E-2</v>
      </c>
    </row>
    <row r="46" spans="2:7" x14ac:dyDescent="0.25">
      <c r="B46" s="52" t="s">
        <v>26</v>
      </c>
      <c r="C46" s="52"/>
      <c r="D46" s="52"/>
      <c r="E46" s="59">
        <f t="shared" si="1"/>
        <v>47117.945128780004</v>
      </c>
      <c r="F46" s="60">
        <f>+F44-F45</f>
        <v>46203.754851049998</v>
      </c>
      <c r="G46" s="37">
        <f t="shared" si="2"/>
        <v>1.9786060260191807E-2</v>
      </c>
    </row>
    <row r="47" spans="2:7" x14ac:dyDescent="0.25">
      <c r="B47" s="1" t="s">
        <v>27</v>
      </c>
      <c r="E47" s="46">
        <f t="shared" si="1"/>
        <v>28706.44204767</v>
      </c>
      <c r="F47" s="28">
        <v>27821.242301250004</v>
      </c>
      <c r="G47" s="34">
        <f t="shared" si="2"/>
        <v>3.1817405449943603E-2</v>
      </c>
    </row>
    <row r="48" spans="2:7" x14ac:dyDescent="0.25">
      <c r="B48" s="5" t="s">
        <v>28</v>
      </c>
      <c r="C48" s="5"/>
      <c r="D48" s="5"/>
      <c r="E48" s="45">
        <f t="shared" si="1"/>
        <v>75824.387176450007</v>
      </c>
      <c r="F48" s="43">
        <f>+F46+F47</f>
        <v>74024.997152299999</v>
      </c>
      <c r="G48" s="37">
        <f t="shared" si="2"/>
        <v>2.4307870224539396E-2</v>
      </c>
    </row>
    <row r="49" spans="2:7" x14ac:dyDescent="0.25">
      <c r="B49" s="1" t="s">
        <v>29</v>
      </c>
      <c r="E49" s="46">
        <f t="shared" si="1"/>
        <v>124058.83417645001</v>
      </c>
      <c r="F49" s="28">
        <v>121665.13115229999</v>
      </c>
      <c r="G49" s="34">
        <f t="shared" si="2"/>
        <v>1.967451973691281E-2</v>
      </c>
    </row>
    <row r="50" spans="2:7" x14ac:dyDescent="0.25">
      <c r="B50" s="5" t="s">
        <v>30</v>
      </c>
      <c r="C50" s="5"/>
      <c r="D50" s="5"/>
      <c r="E50" s="45">
        <f t="shared" si="1"/>
        <v>5802.0450000000001</v>
      </c>
      <c r="F50" s="43">
        <f>+'Balance sheet'!I53</f>
        <v>5843.3230000000003</v>
      </c>
      <c r="G50" s="37">
        <f t="shared" si="2"/>
        <v>-7.0641311459250788E-3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32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4Q21</v>
      </c>
      <c r="F14" s="9" t="str">
        <f>+'KF-B'!F14</f>
        <v>4Q20</v>
      </c>
      <c r="G14" s="9" t="s">
        <v>0</v>
      </c>
    </row>
    <row r="15" spans="2:7" x14ac:dyDescent="0.25">
      <c r="B15" s="1" t="s">
        <v>1</v>
      </c>
      <c r="E15" s="80">
        <v>3.7737249531695993E-2</v>
      </c>
      <c r="F15" s="30">
        <v>3.2424363997612948E-2</v>
      </c>
      <c r="G15" s="31" t="str">
        <f>IF(ISERROR($E15-F15),"-",CONCATENATE((FIXED($E15-F15,4)*10000)," bp"))</f>
        <v>53 bp</v>
      </c>
    </row>
    <row r="16" spans="2:7" x14ac:dyDescent="0.25">
      <c r="B16" s="1" t="s">
        <v>4</v>
      </c>
      <c r="E16" s="80">
        <v>4.0425300652645109E-2</v>
      </c>
      <c r="F16" s="30">
        <v>3.4719369546989738E-2</v>
      </c>
      <c r="G16" s="31" t="str">
        <f>IF(ISERROR($E16-F16),"-",CONCATENATE((FIXED($E16-F16,4)*10000)," bp"))</f>
        <v>57 bp</v>
      </c>
    </row>
    <row r="17" spans="2:7" x14ac:dyDescent="0.25">
      <c r="B17" s="1" t="s">
        <v>2</v>
      </c>
      <c r="E17" s="80">
        <v>3.3401376317307302E-3</v>
      </c>
      <c r="F17" s="30">
        <v>2.9215252071783677E-3</v>
      </c>
      <c r="G17" s="31" t="str">
        <f>IF(ISERROR($E17-F17),"-",CONCATENATE((FIXED($E17-F17,4)*10000)," bp"))</f>
        <v>4 bp</v>
      </c>
    </row>
    <row r="18" spans="2:7" x14ac:dyDescent="0.25">
      <c r="B18" s="1" t="s">
        <v>3</v>
      </c>
      <c r="E18" s="80">
        <v>7.1237060899868448E-3</v>
      </c>
      <c r="F18" s="30">
        <v>5.9609439679568256E-3</v>
      </c>
      <c r="G18" s="31" t="str">
        <f>IF(ISERROR($E18-F18),"-",CONCATENATE((FIXED($E18-F18,4)*10000)," bp"))</f>
        <v>12 bp</v>
      </c>
    </row>
    <row r="19" spans="2:7" x14ac:dyDescent="0.25">
      <c r="B19" s="1" t="s">
        <v>33</v>
      </c>
      <c r="E19" s="80">
        <v>0.53200645177177475</v>
      </c>
      <c r="F19" s="30">
        <v>0.53107444578437335</v>
      </c>
      <c r="G19" s="31" t="str">
        <f>IF(ISERROR($E19-F19),"-",CONCATENATE((FIXED($E19-F19,4)*10000)," bp"))</f>
        <v>9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31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0">+E14</f>
        <v>4Q21</v>
      </c>
      <c r="F30" s="9" t="str">
        <f>+'KF-B'!F36</f>
        <v>3Q21</v>
      </c>
      <c r="G30" s="9" t="s">
        <v>0</v>
      </c>
    </row>
    <row r="31" spans="2:7" x14ac:dyDescent="0.25">
      <c r="B31" s="1" t="s">
        <v>1</v>
      </c>
      <c r="E31" s="29">
        <f t="shared" si="0"/>
        <v>3.7737249531695993E-2</v>
      </c>
      <c r="F31" s="30">
        <v>3.4603313665262807E-2</v>
      </c>
      <c r="G31" s="31" t="str">
        <f>IF(ISERROR($E31-F31),"-",CONCATENATE((FIXED($E31-F31,4)*10000)," bp"))</f>
        <v>31 bp</v>
      </c>
    </row>
    <row r="32" spans="2:7" x14ac:dyDescent="0.25">
      <c r="B32" s="1" t="s">
        <v>4</v>
      </c>
      <c r="E32" s="29">
        <f t="shared" si="0"/>
        <v>4.0425300652645109E-2</v>
      </c>
      <c r="F32" s="30">
        <v>3.705787451573337E-2</v>
      </c>
      <c r="G32" s="31" t="str">
        <f>IF(ISERROR($E32-F32),"-",CONCATENATE((FIXED($E32-F32,4)*10000)," bp"))</f>
        <v>34 bp</v>
      </c>
    </row>
    <row r="33" spans="2:7" x14ac:dyDescent="0.25">
      <c r="B33" s="1" t="s">
        <v>2</v>
      </c>
      <c r="E33" s="29">
        <f t="shared" si="0"/>
        <v>3.3401376317307302E-3</v>
      </c>
      <c r="F33" s="30">
        <v>3.0521604644692538E-3</v>
      </c>
      <c r="G33" s="31" t="str">
        <f>IF(ISERROR($E33-F33),"-",CONCATENATE((FIXED($E33-F33,4)*10000)," bp"))</f>
        <v>3 bp</v>
      </c>
    </row>
    <row r="34" spans="2:7" x14ac:dyDescent="0.25">
      <c r="B34" s="1" t="s">
        <v>3</v>
      </c>
      <c r="E34" s="29">
        <f t="shared" si="0"/>
        <v>7.1237060899868448E-3</v>
      </c>
      <c r="F34" s="30">
        <v>6.4598715888455867E-3</v>
      </c>
      <c r="G34" s="31" t="str">
        <f>IF(ISERROR($E34-F34),"-",CONCATENATE((FIXED($E34-F34,4)*10000)," bp"))</f>
        <v>7 bp</v>
      </c>
    </row>
    <row r="35" spans="2:7" x14ac:dyDescent="0.25">
      <c r="B35" s="1" t="s">
        <v>33</v>
      </c>
      <c r="E35" s="29">
        <f t="shared" si="0"/>
        <v>0.53200645177177475</v>
      </c>
      <c r="F35" s="30">
        <v>0.54626326071942677</v>
      </c>
      <c r="G35" s="31" t="str">
        <f>IF(ISERROR($E35-F35),"-",CONCATENATE((FIXED($E35-F35,4)*10000)," bp"))</f>
        <v>-143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34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4Q21</v>
      </c>
      <c r="F14" s="9" t="str">
        <f>+'KF-B'!F14</f>
        <v>4Q20</v>
      </c>
      <c r="G14" s="9" t="s">
        <v>0</v>
      </c>
    </row>
    <row r="15" spans="2:7" x14ac:dyDescent="0.25">
      <c r="B15" s="1" t="s">
        <v>35</v>
      </c>
      <c r="E15" s="80">
        <f>+Solvency!F28</f>
        <v>0.176822916624511</v>
      </c>
      <c r="F15" s="30">
        <f>+Solvency!G28</f>
        <v>0.17828220911487092</v>
      </c>
      <c r="G15" s="31" t="str">
        <f>IF(ISERROR($E15-F15),"-",CONCATENATE((FIXED($E15-F15,4)*10000)," bp"))</f>
        <v>-15 bp</v>
      </c>
    </row>
    <row r="16" spans="2:7" x14ac:dyDescent="0.25">
      <c r="B16" s="1" t="s">
        <v>36</v>
      </c>
      <c r="E16" s="80">
        <f>+Solvency!F29</f>
        <v>0.176822916624511</v>
      </c>
      <c r="F16" s="30">
        <f>+Solvency!G29</f>
        <v>0.17828220911487092</v>
      </c>
      <c r="G16" s="31" t="str">
        <f t="shared" ref="G16:G23" si="0">IF(ISERROR($E16-F16),"-",CONCATENATE((FIXED($E16-F16,4)*10000)," bp"))</f>
        <v>-15 bp</v>
      </c>
    </row>
    <row r="17" spans="2:7" x14ac:dyDescent="0.25">
      <c r="B17" s="1" t="s">
        <v>37</v>
      </c>
      <c r="E17" s="80">
        <f>+Solvency!F30</f>
        <v>0.176822916624511</v>
      </c>
      <c r="F17" s="30">
        <f>+Solvency!G30</f>
        <v>0.17828220911487092</v>
      </c>
      <c r="G17" s="31" t="str">
        <f t="shared" si="0"/>
        <v>-15 bp</v>
      </c>
    </row>
    <row r="18" spans="2:7" x14ac:dyDescent="0.25">
      <c r="B18" s="1" t="s">
        <v>38</v>
      </c>
      <c r="E18" s="80">
        <f>+Solvency!F31</f>
        <v>8.5506280160635412E-2</v>
      </c>
      <c r="F18" s="30">
        <f>+Solvency!G31</f>
        <v>9.2298497136915916E-2</v>
      </c>
      <c r="G18" s="31" t="str">
        <f t="shared" si="0"/>
        <v>-68 bp</v>
      </c>
    </row>
    <row r="19" spans="2:7" s="21" customFormat="1" x14ac:dyDescent="0.25">
      <c r="B19" s="21" t="s">
        <v>11</v>
      </c>
      <c r="E19" s="82">
        <f>+Solvency!F33</f>
        <v>0.17272608814639467</v>
      </c>
      <c r="F19" s="56">
        <f>+Solvency!G33</f>
        <v>0.17443817509659157</v>
      </c>
      <c r="G19" s="31" t="str">
        <f t="shared" si="0"/>
        <v>-17 bp</v>
      </c>
    </row>
    <row r="20" spans="2:7" s="21" customFormat="1" x14ac:dyDescent="0.25">
      <c r="B20" s="21" t="s">
        <v>39</v>
      </c>
      <c r="E20" s="82">
        <f>+Solvency!F35</f>
        <v>8.364137298690548E-2</v>
      </c>
      <c r="F20" s="56">
        <f>+Solvency!G35</f>
        <v>9.0188302164609144E-2</v>
      </c>
      <c r="G20" s="31" t="str">
        <f t="shared" si="0"/>
        <v>-65 bp</v>
      </c>
    </row>
    <row r="21" spans="2:7" x14ac:dyDescent="0.25">
      <c r="B21" s="1" t="s">
        <v>5</v>
      </c>
      <c r="E21" s="80">
        <v>2.3321282854487553</v>
      </c>
      <c r="F21" s="30">
        <v>2.5352763256079061</v>
      </c>
      <c r="G21" s="31" t="str">
        <f t="shared" si="0"/>
        <v>-2031 bp</v>
      </c>
    </row>
    <row r="22" spans="2:7" x14ac:dyDescent="0.25">
      <c r="B22" s="1" t="s">
        <v>6</v>
      </c>
      <c r="E22" s="80">
        <v>1.3839217852743324</v>
      </c>
      <c r="F22" s="30">
        <v>1.3620590067639153</v>
      </c>
      <c r="G22" s="31" t="str">
        <f t="shared" si="0"/>
        <v>219 bp</v>
      </c>
    </row>
    <row r="23" spans="2:7" x14ac:dyDescent="0.25">
      <c r="B23" s="1" t="s">
        <v>12</v>
      </c>
      <c r="E23" s="29">
        <v>1.0062008909261304</v>
      </c>
      <c r="F23" s="30">
        <v>0.96985775747533443</v>
      </c>
      <c r="G23" s="31" t="str">
        <f t="shared" si="0"/>
        <v>363 bp</v>
      </c>
    </row>
    <row r="25" spans="2:7" x14ac:dyDescent="0.25">
      <c r="B25" s="64"/>
    </row>
    <row r="29" spans="2:7" ht="17.25" x14ac:dyDescent="0.3">
      <c r="B29" s="6" t="s">
        <v>31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4Q21</v>
      </c>
      <c r="F31" s="9" t="str">
        <f>+'KF-B'!F36</f>
        <v>3Q21</v>
      </c>
      <c r="G31" s="9" t="s">
        <v>0</v>
      </c>
    </row>
    <row r="32" spans="2:7" x14ac:dyDescent="0.25">
      <c r="B32" s="1" t="s">
        <v>35</v>
      </c>
      <c r="E32" s="29">
        <f t="shared" ref="E32:E40" si="1">+E15</f>
        <v>0.176822916624511</v>
      </c>
      <c r="F32" s="30">
        <f>+Solvency!G57</f>
        <v>0.17616633040605792</v>
      </c>
      <c r="G32" s="31" t="str">
        <f>IF(ISERROR($E32-F32),"-",CONCATENATE((FIXED($E32-F32,4)*10000)," bp"))</f>
        <v>7 bp</v>
      </c>
    </row>
    <row r="33" spans="2:7" x14ac:dyDescent="0.25">
      <c r="B33" s="1" t="s">
        <v>36</v>
      </c>
      <c r="E33" s="29">
        <f t="shared" si="1"/>
        <v>0.176822916624511</v>
      </c>
      <c r="F33" s="30">
        <f>+Solvency!G58</f>
        <v>0.17616633040605792</v>
      </c>
      <c r="G33" s="31" t="str">
        <f t="shared" ref="G33:G40" si="2">IF(ISERROR($E33-F33),"-",CONCATENATE((FIXED($E33-F33,4)*10000)," bp"))</f>
        <v>7 bp</v>
      </c>
    </row>
    <row r="34" spans="2:7" x14ac:dyDescent="0.25">
      <c r="B34" s="1" t="s">
        <v>37</v>
      </c>
      <c r="E34" s="29">
        <f t="shared" si="1"/>
        <v>0.176822916624511</v>
      </c>
      <c r="F34" s="30">
        <f>+Solvency!G59</f>
        <v>0.17616633040605792</v>
      </c>
      <c r="G34" s="31" t="str">
        <f t="shared" si="2"/>
        <v>7 bp</v>
      </c>
    </row>
    <row r="35" spans="2:7" s="21" customFormat="1" x14ac:dyDescent="0.25">
      <c r="B35" s="1" t="s">
        <v>38</v>
      </c>
      <c r="C35" s="1"/>
      <c r="D35" s="1"/>
      <c r="E35" s="29">
        <f t="shared" si="1"/>
        <v>8.5506280160635412E-2</v>
      </c>
      <c r="F35" s="30">
        <f>+Solvency!G60</f>
        <v>8.5187301561239076E-2</v>
      </c>
      <c r="G35" s="31" t="str">
        <f t="shared" si="2"/>
        <v>3 bp</v>
      </c>
    </row>
    <row r="36" spans="2:7" s="21" customFormat="1" x14ac:dyDescent="0.25">
      <c r="B36" s="21" t="s">
        <v>11</v>
      </c>
      <c r="E36" s="55">
        <f t="shared" si="1"/>
        <v>0.17272608814639467</v>
      </c>
      <c r="F36" s="56">
        <f>+Solvency!G62</f>
        <v>0.17183961460611433</v>
      </c>
      <c r="G36" s="31" t="str">
        <f t="shared" si="2"/>
        <v>9 bp</v>
      </c>
    </row>
    <row r="37" spans="2:7" x14ac:dyDescent="0.25">
      <c r="B37" s="21" t="s">
        <v>39</v>
      </c>
      <c r="C37" s="21"/>
      <c r="D37" s="21"/>
      <c r="E37" s="55">
        <f t="shared" si="1"/>
        <v>8.364137298690548E-2</v>
      </c>
      <c r="F37" s="56">
        <f>+Solvency!G64</f>
        <v>8.3217904135207105E-2</v>
      </c>
      <c r="G37" s="31" t="str">
        <f t="shared" si="2"/>
        <v>4 bp</v>
      </c>
    </row>
    <row r="38" spans="2:7" x14ac:dyDescent="0.25">
      <c r="B38" s="1" t="s">
        <v>5</v>
      </c>
      <c r="E38" s="29">
        <f t="shared" si="1"/>
        <v>2.3321282854487553</v>
      </c>
      <c r="F38" s="30">
        <v>2.1153312316255284</v>
      </c>
      <c r="G38" s="31" t="str">
        <f t="shared" si="2"/>
        <v>2168 bp</v>
      </c>
    </row>
    <row r="39" spans="2:7" x14ac:dyDescent="0.25">
      <c r="B39" s="1" t="s">
        <v>6</v>
      </c>
      <c r="E39" s="29">
        <f t="shared" si="1"/>
        <v>1.3839217852743324</v>
      </c>
      <c r="F39" s="30">
        <v>1.3692710215441231</v>
      </c>
      <c r="G39" s="31" t="str">
        <f t="shared" si="2"/>
        <v>147 bp</v>
      </c>
    </row>
    <row r="40" spans="2:7" x14ac:dyDescent="0.25">
      <c r="B40" s="1" t="s">
        <v>12</v>
      </c>
      <c r="E40" s="29">
        <f t="shared" si="1"/>
        <v>1.0062008909261304</v>
      </c>
      <c r="F40" s="30">
        <v>1.0134796562214479</v>
      </c>
      <c r="G40" s="31" t="str">
        <f t="shared" si="2"/>
        <v>-73 bp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40</v>
      </c>
    </row>
    <row r="12" spans="2:9" ht="17.25" x14ac:dyDescent="0.3">
      <c r="B12" s="6" t="s">
        <v>15</v>
      </c>
      <c r="F12" s="4"/>
    </row>
    <row r="13" spans="2:9" x14ac:dyDescent="0.25">
      <c r="B13" s="70" t="s">
        <v>41</v>
      </c>
      <c r="F13" s="4"/>
    </row>
    <row r="14" spans="2:9" x14ac:dyDescent="0.25">
      <c r="B14" s="7"/>
      <c r="C14" s="7"/>
      <c r="D14" s="7"/>
      <c r="E14" s="8" t="str">
        <f>+'KF-B'!E14</f>
        <v>4Q21</v>
      </c>
      <c r="F14" s="9" t="str">
        <f>+'KF-B'!F14</f>
        <v>4Q20</v>
      </c>
      <c r="G14" s="9" t="s">
        <v>0</v>
      </c>
    </row>
    <row r="15" spans="2:9" x14ac:dyDescent="0.25">
      <c r="B15" s="1" t="s">
        <v>42</v>
      </c>
      <c r="E15" s="83">
        <v>5205</v>
      </c>
      <c r="F15" s="33">
        <v>5365</v>
      </c>
      <c r="G15" s="34">
        <f t="shared" ref="G15:G20" si="0">IF(ISERROR($E15/F15),"-",$E15/F15-1)</f>
        <v>-2.982292637465056E-2</v>
      </c>
      <c r="H15" s="12"/>
      <c r="I15" s="12"/>
    </row>
    <row r="16" spans="2:9" x14ac:dyDescent="0.25">
      <c r="B16" s="1" t="s">
        <v>43</v>
      </c>
      <c r="E16" s="83">
        <v>774</v>
      </c>
      <c r="F16" s="33">
        <v>820</v>
      </c>
      <c r="G16" s="34">
        <f t="shared" si="0"/>
        <v>-5.6097560975609806E-2</v>
      </c>
      <c r="H16" s="12"/>
      <c r="I16" s="12"/>
    </row>
    <row r="17" spans="2:9" x14ac:dyDescent="0.25">
      <c r="B17" s="1" t="s">
        <v>44</v>
      </c>
      <c r="E17" s="83">
        <v>2392591</v>
      </c>
      <c r="F17" s="33">
        <v>2438588</v>
      </c>
      <c r="G17" s="34">
        <f t="shared" si="0"/>
        <v>-1.8862144814950299E-2</v>
      </c>
      <c r="H17" s="12"/>
      <c r="I17" s="12"/>
    </row>
    <row r="18" spans="2:9" x14ac:dyDescent="0.25">
      <c r="B18" s="1" t="s">
        <v>45</v>
      </c>
      <c r="E18" s="83">
        <v>2255099</v>
      </c>
      <c r="F18" s="33">
        <v>2298473</v>
      </c>
      <c r="G18" s="34">
        <f t="shared" si="0"/>
        <v>-1.8870789432810398E-2</v>
      </c>
      <c r="H18" s="12"/>
      <c r="I18" s="12"/>
    </row>
    <row r="19" spans="2:9" x14ac:dyDescent="0.25">
      <c r="B19" s="1" t="s">
        <v>46</v>
      </c>
      <c r="E19" s="83">
        <v>137492</v>
      </c>
      <c r="F19" s="33">
        <v>140115</v>
      </c>
      <c r="G19" s="34">
        <f t="shared" si="0"/>
        <v>-1.8720336866145715E-2</v>
      </c>
      <c r="H19" s="12"/>
      <c r="I19" s="12"/>
    </row>
    <row r="20" spans="2:9" x14ac:dyDescent="0.25">
      <c r="B20" s="1" t="s">
        <v>47</v>
      </c>
      <c r="E20" s="83">
        <v>1595</v>
      </c>
      <c r="F20" s="33">
        <v>1723</v>
      </c>
      <c r="G20" s="34">
        <f t="shared" si="0"/>
        <v>-7.42890307603018E-2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31</v>
      </c>
      <c r="F28" s="4"/>
      <c r="H28" s="12"/>
      <c r="I28" s="12"/>
    </row>
    <row r="29" spans="2:9" x14ac:dyDescent="0.25">
      <c r="B29" s="70" t="s">
        <v>41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4Q21</v>
      </c>
      <c r="F30" s="9" t="str">
        <f>+'KF-B'!F36</f>
        <v>3Q21</v>
      </c>
      <c r="G30" s="9" t="s">
        <v>0</v>
      </c>
      <c r="H30" s="12"/>
      <c r="I30" s="12"/>
    </row>
    <row r="31" spans="2:9" x14ac:dyDescent="0.25">
      <c r="B31" s="1" t="s">
        <v>42</v>
      </c>
      <c r="E31" s="32">
        <f t="shared" ref="E31:E36" si="1">+E15</f>
        <v>5205</v>
      </c>
      <c r="F31" s="33">
        <v>5231</v>
      </c>
      <c r="G31" s="34">
        <f t="shared" ref="G31:G36" si="2">IF(ISERROR($E31/F31),"-",$E31/F31-1)</f>
        <v>-4.9703689543107998E-3</v>
      </c>
      <c r="H31" s="12"/>
      <c r="I31" s="12"/>
    </row>
    <row r="32" spans="2:9" x14ac:dyDescent="0.25">
      <c r="B32" s="1" t="s">
        <v>43</v>
      </c>
      <c r="E32" s="32">
        <f t="shared" si="1"/>
        <v>774</v>
      </c>
      <c r="F32" s="33">
        <v>798</v>
      </c>
      <c r="G32" s="34">
        <f t="shared" si="2"/>
        <v>-3.007518796992481E-2</v>
      </c>
      <c r="H32" s="12"/>
      <c r="I32" s="12"/>
    </row>
    <row r="33" spans="2:9" x14ac:dyDescent="0.25">
      <c r="B33" s="1" t="s">
        <v>44</v>
      </c>
      <c r="E33" s="32">
        <f t="shared" si="1"/>
        <v>2392591</v>
      </c>
      <c r="F33" s="33">
        <v>2404946</v>
      </c>
      <c r="G33" s="34">
        <f t="shared" si="2"/>
        <v>-5.1373294868158892E-3</v>
      </c>
      <c r="H33" s="12"/>
      <c r="I33" s="12"/>
    </row>
    <row r="34" spans="2:9" x14ac:dyDescent="0.25">
      <c r="B34" s="1" t="s">
        <v>45</v>
      </c>
      <c r="E34" s="32">
        <f t="shared" si="1"/>
        <v>2255099</v>
      </c>
      <c r="F34" s="33">
        <v>2266943</v>
      </c>
      <c r="G34" s="34">
        <f t="shared" si="2"/>
        <v>-5.2246571704713807E-3</v>
      </c>
      <c r="H34" s="12"/>
      <c r="I34" s="12"/>
    </row>
    <row r="35" spans="2:9" x14ac:dyDescent="0.25">
      <c r="B35" s="1" t="s">
        <v>46</v>
      </c>
      <c r="E35" s="32">
        <f t="shared" si="1"/>
        <v>137492</v>
      </c>
      <c r="F35" s="33">
        <v>138003</v>
      </c>
      <c r="G35" s="34">
        <f t="shared" si="2"/>
        <v>-3.7028180546799794E-3</v>
      </c>
      <c r="H35" s="12"/>
      <c r="I35" s="12"/>
    </row>
    <row r="36" spans="2:9" x14ac:dyDescent="0.25">
      <c r="B36" s="1" t="s">
        <v>47</v>
      </c>
      <c r="E36" s="32">
        <f t="shared" si="1"/>
        <v>1595</v>
      </c>
      <c r="F36" s="33">
        <v>1637</v>
      </c>
      <c r="G36" s="34">
        <f t="shared" si="2"/>
        <v>-2.5656689065363447E-2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0" t="s">
        <v>16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151</v>
      </c>
      <c r="I14" s="9" t="s">
        <v>152</v>
      </c>
      <c r="J14" s="9" t="s">
        <v>0</v>
      </c>
    </row>
    <row r="15" spans="2:10" x14ac:dyDescent="0.25">
      <c r="B15" s="5" t="s">
        <v>49</v>
      </c>
      <c r="C15" s="5"/>
      <c r="D15" s="5"/>
      <c r="E15" s="5"/>
      <c r="F15" s="5"/>
      <c r="G15" s="5"/>
      <c r="H15" s="17">
        <v>559.28200000000004</v>
      </c>
      <c r="I15" s="36">
        <v>566.42700000000002</v>
      </c>
      <c r="J15" s="37">
        <f>IF(ISERROR($H15/I15),"-",ABS($H15)/ABS(I15)-1)</f>
        <v>-1.2614158576480294E-2</v>
      </c>
    </row>
    <row r="16" spans="2:10" x14ac:dyDescent="0.25">
      <c r="B16" s="1" t="s">
        <v>50</v>
      </c>
      <c r="H16" s="20">
        <v>52.798999999999999</v>
      </c>
      <c r="I16" s="25">
        <v>60.613</v>
      </c>
      <c r="J16" s="34">
        <f t="shared" ref="J16:J40" si="0">IF(ISERROR($H16/I16),"-",ABS($H16)/ABS(I16)-1)</f>
        <v>-0.12891623909062411</v>
      </c>
    </row>
    <row r="17" spans="2:11" x14ac:dyDescent="0.25">
      <c r="B17" s="1" t="s">
        <v>51</v>
      </c>
      <c r="H17" s="20">
        <v>5.5609999999999999</v>
      </c>
      <c r="I17" s="25">
        <v>4.2480000000000002</v>
      </c>
      <c r="J17" s="34">
        <f t="shared" si="0"/>
        <v>0.30908662900188322</v>
      </c>
    </row>
    <row r="18" spans="2:11" x14ac:dyDescent="0.25">
      <c r="B18" s="5" t="s">
        <v>52</v>
      </c>
      <c r="C18" s="5"/>
      <c r="D18" s="5"/>
      <c r="E18" s="5"/>
      <c r="F18" s="5"/>
      <c r="G18" s="5"/>
      <c r="H18" s="17">
        <v>471.10899999999998</v>
      </c>
      <c r="I18" s="36">
        <v>387.89699999999999</v>
      </c>
      <c r="J18" s="37">
        <f t="shared" si="0"/>
        <v>0.21452086507500701</v>
      </c>
    </row>
    <row r="19" spans="2:11" x14ac:dyDescent="0.25">
      <c r="B19" s="1" t="s">
        <v>53</v>
      </c>
      <c r="H19" s="20">
        <v>0.59399999999999997</v>
      </c>
      <c r="I19" s="25">
        <v>0.26300000000000001</v>
      </c>
      <c r="J19" s="34">
        <f t="shared" si="0"/>
        <v>1.2585551330798479</v>
      </c>
    </row>
    <row r="20" spans="2:11" x14ac:dyDescent="0.25">
      <c r="B20" s="1" t="s">
        <v>54</v>
      </c>
      <c r="H20" s="20">
        <v>1.744</v>
      </c>
      <c r="I20" s="25">
        <v>0.501</v>
      </c>
      <c r="J20" s="34">
        <f t="shared" si="0"/>
        <v>2.4810379241516967</v>
      </c>
    </row>
    <row r="21" spans="2:11" x14ac:dyDescent="0.25">
      <c r="B21" s="1" t="s">
        <v>55</v>
      </c>
      <c r="H21" s="20">
        <v>45.963000000000001</v>
      </c>
      <c r="I21" s="25">
        <v>184.095</v>
      </c>
      <c r="J21" s="34">
        <f t="shared" si="0"/>
        <v>-0.75032999266682965</v>
      </c>
    </row>
    <row r="22" spans="2:11" ht="17.25" x14ac:dyDescent="0.3">
      <c r="B22" s="6" t="s">
        <v>56</v>
      </c>
      <c r="C22" s="6"/>
      <c r="D22" s="6"/>
      <c r="E22" s="6"/>
      <c r="F22" s="6"/>
      <c r="G22" s="6"/>
      <c r="H22" s="18">
        <f>SUM(H15:H21)</f>
        <v>1137.0519999999999</v>
      </c>
      <c r="I22" s="27">
        <f>SUM(I15:I21)</f>
        <v>1204.0439999999999</v>
      </c>
      <c r="J22" s="38">
        <f t="shared" si="0"/>
        <v>-5.563916268840674E-2</v>
      </c>
      <c r="K22" s="12"/>
    </row>
    <row r="23" spans="2:11" x14ac:dyDescent="0.25">
      <c r="B23" s="19" t="s">
        <v>57</v>
      </c>
      <c r="C23" s="19"/>
      <c r="D23" s="19"/>
      <c r="E23" s="19"/>
      <c r="F23" s="19"/>
      <c r="G23" s="19"/>
      <c r="H23" s="20">
        <f>+H24+H25</f>
        <v>561.08699999999999</v>
      </c>
      <c r="I23" s="25">
        <f>+I24+I25</f>
        <v>578.24900000000002</v>
      </c>
      <c r="J23" s="34">
        <f t="shared" si="0"/>
        <v>-2.9679255822318784E-2</v>
      </c>
    </row>
    <row r="24" spans="2:11" s="21" customFormat="1" x14ac:dyDescent="0.25">
      <c r="B24" s="21" t="s">
        <v>58</v>
      </c>
      <c r="H24" s="22">
        <v>411.286</v>
      </c>
      <c r="I24" s="23">
        <v>422.21199999999999</v>
      </c>
      <c r="J24" s="34">
        <f t="shared" si="0"/>
        <v>-2.5877994940930127E-2</v>
      </c>
    </row>
    <row r="25" spans="2:11" s="21" customFormat="1" x14ac:dyDescent="0.25">
      <c r="B25" s="21" t="s">
        <v>59</v>
      </c>
      <c r="H25" s="22">
        <v>149.80099999999999</v>
      </c>
      <c r="I25" s="23">
        <v>156.03700000000001</v>
      </c>
      <c r="J25" s="34">
        <f t="shared" si="0"/>
        <v>-3.9964880124585989E-2</v>
      </c>
    </row>
    <row r="26" spans="2:11" x14ac:dyDescent="0.25">
      <c r="B26" s="1" t="s">
        <v>60</v>
      </c>
      <c r="H26" s="20">
        <v>43.832000000000001</v>
      </c>
      <c r="I26" s="25">
        <v>61.188000000000002</v>
      </c>
      <c r="J26" s="34">
        <f t="shared" si="0"/>
        <v>-0.2836503889651566</v>
      </c>
    </row>
    <row r="27" spans="2:11" ht="17.25" x14ac:dyDescent="0.3">
      <c r="B27" s="6" t="s">
        <v>61</v>
      </c>
      <c r="C27" s="6"/>
      <c r="D27" s="6"/>
      <c r="E27" s="6"/>
      <c r="F27" s="6"/>
      <c r="G27" s="6"/>
      <c r="H27" s="18">
        <f>+H22-H23-H26</f>
        <v>532.13299999999992</v>
      </c>
      <c r="I27" s="27">
        <f>+I22-I23-I26</f>
        <v>564.60699999999986</v>
      </c>
      <c r="J27" s="38">
        <f t="shared" si="0"/>
        <v>-5.751611297769943E-2</v>
      </c>
    </row>
    <row r="28" spans="2:11" x14ac:dyDescent="0.25">
      <c r="B28" s="1" t="s">
        <v>62</v>
      </c>
      <c r="H28" s="20">
        <v>98.456999999999994</v>
      </c>
      <c r="I28" s="25">
        <v>111.89700000000001</v>
      </c>
      <c r="J28" s="34">
        <f t="shared" si="0"/>
        <v>-0.12011045872543513</v>
      </c>
    </row>
    <row r="29" spans="2:11" x14ac:dyDescent="0.25">
      <c r="B29" s="1" t="s">
        <v>63</v>
      </c>
      <c r="H29" s="20">
        <f>+H30+H31</f>
        <v>71.295999999999992</v>
      </c>
      <c r="I29" s="25">
        <f>+I30+I31</f>
        <v>160.02699999999999</v>
      </c>
      <c r="J29" s="34">
        <f t="shared" si="0"/>
        <v>-0.55447518231298476</v>
      </c>
    </row>
    <row r="30" spans="2:11" s="21" customFormat="1" x14ac:dyDescent="0.25">
      <c r="B30" s="21" t="s">
        <v>64</v>
      </c>
      <c r="H30" s="22">
        <v>70.69</v>
      </c>
      <c r="I30" s="23">
        <v>159.351</v>
      </c>
      <c r="J30" s="34">
        <f t="shared" si="0"/>
        <v>-0.55638809922749155</v>
      </c>
    </row>
    <row r="31" spans="2:11" s="21" customFormat="1" x14ac:dyDescent="0.25">
      <c r="B31" s="21" t="s">
        <v>65</v>
      </c>
      <c r="H31" s="22">
        <v>0.60599999999999998</v>
      </c>
      <c r="I31" s="23">
        <v>0.67600000000000005</v>
      </c>
      <c r="J31" s="34">
        <f t="shared" si="0"/>
        <v>-0.10355029585798825</v>
      </c>
    </row>
    <row r="32" spans="2:11" x14ac:dyDescent="0.25">
      <c r="B32" s="1" t="s">
        <v>66</v>
      </c>
      <c r="H32" s="20">
        <v>0.53200000000000003</v>
      </c>
      <c r="I32" s="25">
        <v>2.1</v>
      </c>
      <c r="J32" s="34">
        <f t="shared" si="0"/>
        <v>-0.74666666666666659</v>
      </c>
    </row>
    <row r="33" spans="2:10" x14ac:dyDescent="0.25">
      <c r="B33" s="1" t="s">
        <v>67</v>
      </c>
      <c r="H33" s="20">
        <v>18.943999999999999</v>
      </c>
      <c r="I33" s="25">
        <v>-5.4660000000000002</v>
      </c>
      <c r="J33" s="34">
        <f t="shared" si="0"/>
        <v>2.465788510793999</v>
      </c>
    </row>
    <row r="34" spans="2:10" x14ac:dyDescent="0.25">
      <c r="B34" s="1" t="s">
        <v>68</v>
      </c>
      <c r="H34" s="20">
        <v>4.6100000000000003</v>
      </c>
      <c r="I34" s="25">
        <v>1.6759999999999999</v>
      </c>
      <c r="J34" s="34">
        <f t="shared" si="0"/>
        <v>1.7505966587112174</v>
      </c>
    </row>
    <row r="35" spans="2:10" x14ac:dyDescent="0.25">
      <c r="B35" s="1" t="s">
        <v>69</v>
      </c>
      <c r="H35" s="20">
        <v>-52.64</v>
      </c>
      <c r="I35" s="25">
        <v>-62.877000000000002</v>
      </c>
      <c r="J35" s="34">
        <f t="shared" si="0"/>
        <v>-0.16280993049922865</v>
      </c>
    </row>
    <row r="36" spans="2:10" ht="17.25" x14ac:dyDescent="0.3">
      <c r="B36" s="6" t="s">
        <v>70</v>
      </c>
      <c r="C36" s="6"/>
      <c r="D36" s="6"/>
      <c r="E36" s="6"/>
      <c r="F36" s="6"/>
      <c r="G36" s="6"/>
      <c r="H36" s="18">
        <f>+H27-H28-H29-H32-H33+H34+H35</f>
        <v>294.87399999999997</v>
      </c>
      <c r="I36" s="27">
        <f>+I27-I28-I29-I32-I33+I34+I35</f>
        <v>234.84799999999984</v>
      </c>
      <c r="J36" s="38">
        <f t="shared" si="0"/>
        <v>0.25559510832538557</v>
      </c>
    </row>
    <row r="37" spans="2:10" x14ac:dyDescent="0.25">
      <c r="B37" s="1" t="s">
        <v>71</v>
      </c>
      <c r="H37" s="20">
        <v>76.501999999999995</v>
      </c>
      <c r="I37" s="25">
        <v>52.789000000000001</v>
      </c>
      <c r="J37" s="34">
        <f t="shared" si="0"/>
        <v>0.44920343253329276</v>
      </c>
    </row>
    <row r="38" spans="2:10" x14ac:dyDescent="0.25">
      <c r="B38" s="5" t="s">
        <v>72</v>
      </c>
      <c r="C38" s="5"/>
      <c r="D38" s="5"/>
      <c r="E38" s="5"/>
      <c r="F38" s="5"/>
      <c r="G38" s="5"/>
      <c r="H38" s="17">
        <f>+H36-H37</f>
        <v>218.37199999999996</v>
      </c>
      <c r="I38" s="36">
        <f>+I36-I37</f>
        <v>182.05899999999986</v>
      </c>
      <c r="J38" s="37">
        <f t="shared" si="0"/>
        <v>0.19945731878127493</v>
      </c>
    </row>
    <row r="39" spans="2:10" x14ac:dyDescent="0.25">
      <c r="B39" s="1" t="s">
        <v>73</v>
      </c>
      <c r="H39" s="10">
        <v>1.9139999999999999</v>
      </c>
      <c r="I39" s="11">
        <v>1.8</v>
      </c>
      <c r="J39" s="34">
        <f t="shared" si="0"/>
        <v>6.3333333333333242E-2</v>
      </c>
    </row>
    <row r="40" spans="2:10" s="24" customFormat="1" ht="17.25" x14ac:dyDescent="0.3">
      <c r="B40" s="6" t="s">
        <v>74</v>
      </c>
      <c r="C40" s="6"/>
      <c r="D40" s="6"/>
      <c r="E40" s="6"/>
      <c r="F40" s="6"/>
      <c r="G40" s="6"/>
      <c r="H40" s="18">
        <f>+H38-H39</f>
        <v>216.45799999999997</v>
      </c>
      <c r="I40" s="27">
        <f>+I38-I39</f>
        <v>180.25899999999984</v>
      </c>
      <c r="J40" s="38">
        <f t="shared" si="0"/>
        <v>0.2008166027771161</v>
      </c>
    </row>
    <row r="41" spans="2:10" x14ac:dyDescent="0.25">
      <c r="I41" s="35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2" ht="23.25" x14ac:dyDescent="0.35">
      <c r="B9" s="16" t="s">
        <v>75</v>
      </c>
    </row>
    <row r="10" spans="2:12" x14ac:dyDescent="0.25">
      <c r="B10" s="70" t="s">
        <v>16</v>
      </c>
    </row>
    <row r="12" spans="2:12" ht="17.25" x14ac:dyDescent="0.3">
      <c r="B12" s="6"/>
      <c r="G12" s="4"/>
      <c r="I12" s="4"/>
    </row>
    <row r="13" spans="2:12" x14ac:dyDescent="0.25">
      <c r="G13" s="4"/>
      <c r="I13" s="4"/>
    </row>
    <row r="14" spans="2:12" x14ac:dyDescent="0.25">
      <c r="B14" s="7"/>
      <c r="C14" s="7"/>
      <c r="D14" s="7"/>
      <c r="E14" s="7"/>
      <c r="F14" s="8" t="s">
        <v>149</v>
      </c>
      <c r="G14" s="9" t="s">
        <v>150</v>
      </c>
      <c r="H14" s="9" t="s">
        <v>0</v>
      </c>
      <c r="I14" s="9" t="s">
        <v>143</v>
      </c>
      <c r="J14" s="9" t="s">
        <v>0</v>
      </c>
    </row>
    <row r="15" spans="2:12" s="19" customFormat="1" x14ac:dyDescent="0.25">
      <c r="B15" s="19" t="s">
        <v>76</v>
      </c>
      <c r="F15" s="20">
        <v>5692.9880000000003</v>
      </c>
      <c r="G15" s="25">
        <v>6988.1469999999999</v>
      </c>
      <c r="H15" s="34">
        <f>IF(ISERROR($F15/G15),"-",ABS($F15)/ABS(G15)-1)</f>
        <v>-0.18533654200462579</v>
      </c>
      <c r="I15" s="25">
        <v>4629.5330000000004</v>
      </c>
      <c r="J15" s="34">
        <f>IF(ISERROR($F15/I15),"-",ABS($F15)/ABS(I15)-1)</f>
        <v>0.22971107452954764</v>
      </c>
      <c r="K15" s="25"/>
      <c r="L15" s="78"/>
    </row>
    <row r="16" spans="2:12" s="19" customFormat="1" x14ac:dyDescent="0.25">
      <c r="B16" s="19" t="s">
        <v>77</v>
      </c>
      <c r="F16" s="20">
        <f>+F17+F18+F19</f>
        <v>61.77</v>
      </c>
      <c r="G16" s="25">
        <f>+G17+G18+G19</f>
        <v>77.953999999999994</v>
      </c>
      <c r="H16" s="34">
        <f t="shared" ref="H16:H57" si="0">IF(ISERROR($F16/G16),"-",ABS($F16)/ABS(G16)-1)</f>
        <v>-0.20760961592734162</v>
      </c>
      <c r="I16" s="25">
        <f>+I17+I18+I19</f>
        <v>65.894999999999996</v>
      </c>
      <c r="J16" s="34">
        <f t="shared" ref="J16:J57" si="1">IF(ISERROR($F16/I16),"-",ABS($F16)/ABS(I16)-1)</f>
        <v>-6.2599590257227278E-2</v>
      </c>
      <c r="K16" s="25"/>
    </row>
    <row r="17" spans="2:11" s="21" customFormat="1" x14ac:dyDescent="0.25">
      <c r="B17" s="21" t="s">
        <v>78</v>
      </c>
      <c r="F17" s="22">
        <v>61.77</v>
      </c>
      <c r="G17" s="23">
        <v>77.953999999999994</v>
      </c>
      <c r="H17" s="34">
        <f t="shared" si="0"/>
        <v>-0.20760961592734162</v>
      </c>
      <c r="I17" s="23">
        <v>65.894999999999996</v>
      </c>
      <c r="J17" s="34">
        <f t="shared" si="1"/>
        <v>-6.2599590257227278E-2</v>
      </c>
      <c r="K17" s="23"/>
    </row>
    <row r="18" spans="2:11" s="21" customFormat="1" x14ac:dyDescent="0.25">
      <c r="B18" s="21" t="s">
        <v>79</v>
      </c>
      <c r="F18" s="22">
        <v>0</v>
      </c>
      <c r="G18" s="23">
        <v>0</v>
      </c>
      <c r="H18" s="34" t="str">
        <f t="shared" si="0"/>
        <v>-</v>
      </c>
      <c r="I18" s="23">
        <v>0</v>
      </c>
      <c r="J18" s="34" t="str">
        <f t="shared" si="1"/>
        <v>-</v>
      </c>
      <c r="K18" s="23"/>
    </row>
    <row r="19" spans="2:11" s="21" customFormat="1" x14ac:dyDescent="0.25">
      <c r="B19" s="21" t="s">
        <v>80</v>
      </c>
      <c r="F19" s="22">
        <v>0</v>
      </c>
      <c r="G19" s="23">
        <v>0</v>
      </c>
      <c r="H19" s="34" t="str">
        <f t="shared" si="0"/>
        <v>-</v>
      </c>
      <c r="I19" s="23">
        <v>0</v>
      </c>
      <c r="J19" s="34" t="str">
        <f t="shared" si="1"/>
        <v>-</v>
      </c>
      <c r="K19" s="23"/>
    </row>
    <row r="20" spans="2:11" s="19" customFormat="1" x14ac:dyDescent="0.25">
      <c r="B20" s="19" t="s">
        <v>81</v>
      </c>
      <c r="F20" s="20">
        <f>+F21+F22</f>
        <v>56.790999999999997</v>
      </c>
      <c r="G20" s="25">
        <f>+G21+G22</f>
        <v>64.2</v>
      </c>
      <c r="H20" s="34">
        <f>IF(ISERROR($F20/G20),"-",ABS($F20)/ABS(G20)-1)</f>
        <v>-0.11540498442367608</v>
      </c>
      <c r="I20" s="25">
        <f>+I21+I22</f>
        <v>60.237000000000002</v>
      </c>
      <c r="J20" s="34">
        <f t="shared" si="1"/>
        <v>-5.7207364244567405E-2</v>
      </c>
      <c r="K20" s="25"/>
    </row>
    <row r="21" spans="2:11" s="19" customFormat="1" x14ac:dyDescent="0.25">
      <c r="B21" s="21" t="s">
        <v>79</v>
      </c>
      <c r="C21" s="21"/>
      <c r="D21" s="21"/>
      <c r="E21" s="21"/>
      <c r="F21" s="22">
        <v>35.107999999999997</v>
      </c>
      <c r="G21" s="23">
        <v>39.055</v>
      </c>
      <c r="H21" s="34">
        <f t="shared" si="0"/>
        <v>-0.10106260401997191</v>
      </c>
      <c r="I21" s="23">
        <v>37.252000000000002</v>
      </c>
      <c r="J21" s="34">
        <f t="shared" si="1"/>
        <v>-5.7553956834532571E-2</v>
      </c>
      <c r="K21" s="23"/>
    </row>
    <row r="22" spans="2:11" s="19" customFormat="1" x14ac:dyDescent="0.25">
      <c r="B22" s="21" t="s">
        <v>80</v>
      </c>
      <c r="C22" s="21"/>
      <c r="D22" s="21"/>
      <c r="E22" s="21"/>
      <c r="F22" s="22">
        <v>21.683</v>
      </c>
      <c r="G22" s="23">
        <v>25.145</v>
      </c>
      <c r="H22" s="34">
        <f t="shared" si="0"/>
        <v>-0.13768144760389733</v>
      </c>
      <c r="I22" s="23">
        <v>22.984999999999999</v>
      </c>
      <c r="J22" s="34">
        <f t="shared" si="1"/>
        <v>-5.6645638459865144E-2</v>
      </c>
      <c r="K22" s="23"/>
    </row>
    <row r="23" spans="2:11" s="19" customFormat="1" x14ac:dyDescent="0.25">
      <c r="B23" s="19" t="s">
        <v>82</v>
      </c>
      <c r="F23" s="20">
        <f>+F24+F25</f>
        <v>5895.2910000000002</v>
      </c>
      <c r="G23" s="25">
        <f>+G24+G25</f>
        <v>6117.41</v>
      </c>
      <c r="H23" s="34">
        <f t="shared" si="0"/>
        <v>-3.630932044770574E-2</v>
      </c>
      <c r="I23" s="25">
        <f>+I24+I25</f>
        <v>5810.9220000000005</v>
      </c>
      <c r="J23" s="34">
        <f t="shared" si="1"/>
        <v>1.4519038458957079E-2</v>
      </c>
      <c r="K23" s="25"/>
    </row>
    <row r="24" spans="2:11" s="21" customFormat="1" x14ac:dyDescent="0.25">
      <c r="B24" s="21" t="s">
        <v>79</v>
      </c>
      <c r="F24" s="22">
        <v>1459.4290000000001</v>
      </c>
      <c r="G24" s="23">
        <v>1900.809</v>
      </c>
      <c r="H24" s="34">
        <f t="shared" si="0"/>
        <v>-0.23220639212040761</v>
      </c>
      <c r="I24" s="23">
        <v>1274.4839999999999</v>
      </c>
      <c r="J24" s="34">
        <f t="shared" si="1"/>
        <v>0.14511363030057667</v>
      </c>
      <c r="K24" s="23"/>
    </row>
    <row r="25" spans="2:11" s="21" customFormat="1" x14ac:dyDescent="0.25">
      <c r="B25" s="21" t="s">
        <v>80</v>
      </c>
      <c r="F25" s="22">
        <v>4435.8620000000001</v>
      </c>
      <c r="G25" s="23">
        <v>4216.6009999999997</v>
      </c>
      <c r="H25" s="34">
        <f t="shared" si="0"/>
        <v>5.1999465920536503E-2</v>
      </c>
      <c r="I25" s="23">
        <v>4536.4380000000001</v>
      </c>
      <c r="J25" s="34">
        <f t="shared" si="1"/>
        <v>-2.2170698684738976E-2</v>
      </c>
      <c r="K25" s="23"/>
    </row>
    <row r="26" spans="2:11" s="19" customFormat="1" x14ac:dyDescent="0.25">
      <c r="B26" s="19" t="s">
        <v>83</v>
      </c>
      <c r="F26" s="20">
        <f>+F27+F28+F29</f>
        <v>48017.267999999996</v>
      </c>
      <c r="G26" s="25">
        <f>+G27+G28+G29</f>
        <v>44567.208000000006</v>
      </c>
      <c r="H26" s="34">
        <f t="shared" si="0"/>
        <v>7.741252267810883E-2</v>
      </c>
      <c r="I26" s="25">
        <f>+I27+I28+I29</f>
        <v>47373.790999999997</v>
      </c>
      <c r="J26" s="34">
        <f t="shared" si="1"/>
        <v>1.3582974602982523E-2</v>
      </c>
      <c r="K26" s="25"/>
    </row>
    <row r="27" spans="2:11" s="19" customFormat="1" x14ac:dyDescent="0.25">
      <c r="B27" s="21" t="s">
        <v>84</v>
      </c>
      <c r="C27" s="21"/>
      <c r="D27" s="21"/>
      <c r="E27" s="21"/>
      <c r="F27" s="22">
        <v>0</v>
      </c>
      <c r="G27" s="23">
        <v>0</v>
      </c>
      <c r="H27" s="34" t="str">
        <f t="shared" si="0"/>
        <v>-</v>
      </c>
      <c r="I27" s="23">
        <v>0</v>
      </c>
      <c r="J27" s="34" t="str">
        <f t="shared" si="1"/>
        <v>-</v>
      </c>
      <c r="K27" s="23"/>
    </row>
    <row r="28" spans="2:11" s="19" customFormat="1" x14ac:dyDescent="0.25">
      <c r="B28" s="21" t="s">
        <v>85</v>
      </c>
      <c r="C28" s="21"/>
      <c r="D28" s="21"/>
      <c r="E28" s="21"/>
      <c r="F28" s="22">
        <v>501.10899999999998</v>
      </c>
      <c r="G28" s="23">
        <v>305.53300000000002</v>
      </c>
      <c r="H28" s="34">
        <f t="shared" si="0"/>
        <v>0.64011416115444142</v>
      </c>
      <c r="I28" s="23">
        <v>489.88799999999998</v>
      </c>
      <c r="J28" s="34">
        <f t="shared" si="1"/>
        <v>2.290523548239598E-2</v>
      </c>
      <c r="K28" s="23"/>
    </row>
    <row r="29" spans="2:11" s="19" customFormat="1" x14ac:dyDescent="0.25">
      <c r="B29" s="21" t="s">
        <v>86</v>
      </c>
      <c r="C29" s="21"/>
      <c r="D29" s="21"/>
      <c r="E29" s="21"/>
      <c r="F29" s="22">
        <v>47516.159</v>
      </c>
      <c r="G29" s="23">
        <v>44261.675000000003</v>
      </c>
      <c r="H29" s="34">
        <f t="shared" si="0"/>
        <v>7.3528261187584931E-2</v>
      </c>
      <c r="I29" s="23">
        <v>46883.902999999998</v>
      </c>
      <c r="J29" s="34">
        <f t="shared" si="1"/>
        <v>1.3485566677330585E-2</v>
      </c>
      <c r="K29" s="25"/>
    </row>
    <row r="30" spans="2:11" s="19" customFormat="1" x14ac:dyDescent="0.25">
      <c r="B30" s="19" t="s">
        <v>87</v>
      </c>
      <c r="F30" s="20">
        <v>2132.9090000000001</v>
      </c>
      <c r="G30" s="25">
        <v>1695.9949999999999</v>
      </c>
      <c r="H30" s="34">
        <f t="shared" si="0"/>
        <v>0.25761514627106807</v>
      </c>
      <c r="I30" s="25">
        <v>2132.893</v>
      </c>
      <c r="J30" s="34">
        <f t="shared" si="1"/>
        <v>7.5015483664842009E-6</v>
      </c>
      <c r="K30" s="25"/>
    </row>
    <row r="31" spans="2:11" s="19" customFormat="1" x14ac:dyDescent="0.25">
      <c r="B31" s="19" t="s">
        <v>88</v>
      </c>
      <c r="F31" s="20">
        <v>546.04</v>
      </c>
      <c r="G31" s="25">
        <v>778.29300000000001</v>
      </c>
      <c r="H31" s="34">
        <f t="shared" si="0"/>
        <v>-0.29841332248908836</v>
      </c>
      <c r="I31" s="25">
        <v>576.96699999999998</v>
      </c>
      <c r="J31" s="34">
        <f t="shared" si="1"/>
        <v>-5.3602719046323299E-2</v>
      </c>
      <c r="K31" s="25"/>
    </row>
    <row r="32" spans="2:11" s="19" customFormat="1" x14ac:dyDescent="0.25">
      <c r="B32" s="19" t="s">
        <v>89</v>
      </c>
      <c r="F32" s="20">
        <v>47.853999999999999</v>
      </c>
      <c r="G32" s="25">
        <v>81.878</v>
      </c>
      <c r="H32" s="34">
        <f t="shared" si="0"/>
        <v>-0.4155450792642712</v>
      </c>
      <c r="I32" s="25">
        <v>65.626000000000005</v>
      </c>
      <c r="J32" s="34">
        <f t="shared" si="1"/>
        <v>-0.27080730198396985</v>
      </c>
      <c r="K32" s="25"/>
    </row>
    <row r="33" spans="2:11" s="19" customFormat="1" x14ac:dyDescent="0.25">
      <c r="B33" s="19" t="s">
        <v>20</v>
      </c>
      <c r="F33" s="20">
        <v>169.42500000000001</v>
      </c>
      <c r="G33" s="25">
        <v>174.714</v>
      </c>
      <c r="H33" s="34">
        <f t="shared" si="0"/>
        <v>-3.0272330780589884E-2</v>
      </c>
      <c r="I33" s="25">
        <v>175.39599999999999</v>
      </c>
      <c r="J33" s="34">
        <f t="shared" si="1"/>
        <v>-3.4042965632055333E-2</v>
      </c>
      <c r="K33" s="25"/>
    </row>
    <row r="34" spans="2:11" s="19" customFormat="1" x14ac:dyDescent="0.25">
      <c r="B34" s="19" t="s">
        <v>90</v>
      </c>
      <c r="F34" s="20">
        <v>27.893000000000001</v>
      </c>
      <c r="G34" s="25">
        <v>24.901</v>
      </c>
      <c r="H34" s="34">
        <f t="shared" si="0"/>
        <v>0.12015581703546041</v>
      </c>
      <c r="I34" s="25">
        <v>26.263000000000002</v>
      </c>
      <c r="J34" s="34">
        <f t="shared" si="1"/>
        <v>6.2064501389787807E-2</v>
      </c>
      <c r="K34" s="25"/>
    </row>
    <row r="35" spans="2:11" s="19" customFormat="1" x14ac:dyDescent="0.25">
      <c r="B35" s="19" t="s">
        <v>91</v>
      </c>
      <c r="F35" s="20">
        <v>796.07</v>
      </c>
      <c r="G35" s="25">
        <v>825.28499999999997</v>
      </c>
      <c r="H35" s="34">
        <f t="shared" si="0"/>
        <v>-3.5399892158466395E-2</v>
      </c>
      <c r="I35" s="25">
        <v>806.48500000000001</v>
      </c>
      <c r="J35" s="34">
        <f t="shared" si="1"/>
        <v>-1.2914065357694127E-2</v>
      </c>
      <c r="K35" s="25"/>
    </row>
    <row r="36" spans="2:11" s="19" customFormat="1" x14ac:dyDescent="0.25">
      <c r="B36" s="19" t="s">
        <v>92</v>
      </c>
      <c r="F36" s="20">
        <v>401.54700000000003</v>
      </c>
      <c r="G36" s="25">
        <v>377.76600000000002</v>
      </c>
      <c r="H36" s="34">
        <f t="shared" si="0"/>
        <v>6.2951668493194113E-2</v>
      </c>
      <c r="I36" s="25">
        <v>382.36799999999999</v>
      </c>
      <c r="J36" s="34">
        <f t="shared" si="1"/>
        <v>5.0158486065779551E-2</v>
      </c>
      <c r="K36" s="25"/>
    </row>
    <row r="37" spans="2:11" s="19" customFormat="1" x14ac:dyDescent="0.25">
      <c r="B37" s="19" t="s">
        <v>93</v>
      </c>
      <c r="F37" s="20">
        <v>1744.5219999999999</v>
      </c>
      <c r="G37" s="25">
        <v>1786.329</v>
      </c>
      <c r="H37" s="34">
        <f t="shared" si="0"/>
        <v>-2.3403863454044549E-2</v>
      </c>
      <c r="I37" s="25">
        <v>1754.2739999999999</v>
      </c>
      <c r="J37" s="34">
        <f t="shared" si="1"/>
        <v>-5.5589947750465107E-3</v>
      </c>
      <c r="K37" s="25"/>
    </row>
    <row r="38" spans="2:11" s="19" customFormat="1" x14ac:dyDescent="0.25">
      <c r="B38" s="19" t="s">
        <v>94</v>
      </c>
      <c r="F38" s="20">
        <v>214.30799999999999</v>
      </c>
      <c r="G38" s="25">
        <v>219.45</v>
      </c>
      <c r="H38" s="34">
        <f t="shared" si="0"/>
        <v>-2.3431305536568692E-2</v>
      </c>
      <c r="I38" s="25">
        <v>213.709</v>
      </c>
      <c r="J38" s="34">
        <f t="shared" si="1"/>
        <v>2.8028768091188372E-3</v>
      </c>
      <c r="K38" s="25"/>
    </row>
    <row r="39" spans="2:11" s="19" customFormat="1" ht="17.25" x14ac:dyDescent="0.3">
      <c r="B39" s="6" t="s">
        <v>95</v>
      </c>
      <c r="C39" s="6"/>
      <c r="D39" s="6"/>
      <c r="E39" s="6"/>
      <c r="F39" s="18">
        <f>+F15+F16+F20+F23+F26+F30+F31+F32+F33+F34+F35+F36+F37+F38</f>
        <v>65804.675999999992</v>
      </c>
      <c r="G39" s="27">
        <f>+G15+G16+G20+G23+G26+G30+G31+G32+G33+G34+G35+G36+G37+G38</f>
        <v>63779.530000000006</v>
      </c>
      <c r="H39" s="38">
        <f t="shared" si="0"/>
        <v>3.1752287920591149E-2</v>
      </c>
      <c r="I39" s="27">
        <f>+I15+I16+I20+I23+I26+I30+I31+I32+I33+I34+I35+I36+I37+I38</f>
        <v>64074.358999999989</v>
      </c>
      <c r="J39" s="38">
        <f t="shared" si="1"/>
        <v>2.7004827313215962E-2</v>
      </c>
      <c r="K39" s="25"/>
    </row>
    <row r="40" spans="2:11" s="19" customFormat="1" x14ac:dyDescent="0.25">
      <c r="B40" s="19" t="s">
        <v>96</v>
      </c>
      <c r="F40" s="20">
        <v>65.578000000000003</v>
      </c>
      <c r="G40" s="25">
        <v>80.376999999999995</v>
      </c>
      <c r="H40" s="34">
        <f t="shared" si="0"/>
        <v>-0.18411983527626052</v>
      </c>
      <c r="I40" s="25">
        <v>69.653000000000006</v>
      </c>
      <c r="J40" s="34">
        <f t="shared" si="1"/>
        <v>-5.850429988658068E-2</v>
      </c>
      <c r="K40" s="25"/>
    </row>
    <row r="41" spans="2:11" s="21" customFormat="1" x14ac:dyDescent="0.25">
      <c r="B41" s="19" t="s">
        <v>97</v>
      </c>
      <c r="C41" s="19"/>
      <c r="D41" s="19"/>
      <c r="E41" s="19"/>
      <c r="F41" s="20">
        <f>+F42+F43+F44+F45+F46</f>
        <v>57263.410999999993</v>
      </c>
      <c r="G41" s="25">
        <f>+G42+G43+G44+G45+G46</f>
        <v>55437.045000000006</v>
      </c>
      <c r="H41" s="34">
        <f t="shared" si="0"/>
        <v>3.2944865657972722E-2</v>
      </c>
      <c r="I41" s="25">
        <f>+I42+I43+I44+I45+I46</f>
        <v>55732.904999999999</v>
      </c>
      <c r="J41" s="34">
        <f t="shared" si="1"/>
        <v>2.7461443109775052E-2</v>
      </c>
      <c r="K41" s="23"/>
    </row>
    <row r="42" spans="2:11" s="21" customFormat="1" x14ac:dyDescent="0.25">
      <c r="B42" s="21" t="s">
        <v>98</v>
      </c>
      <c r="F42" s="22">
        <v>6181.3990000000003</v>
      </c>
      <c r="G42" s="23">
        <v>5673.2870000000003</v>
      </c>
      <c r="H42" s="34">
        <f t="shared" si="0"/>
        <v>8.9562188551363553E-2</v>
      </c>
      <c r="I42" s="23">
        <v>6197.45</v>
      </c>
      <c r="J42" s="34">
        <f t="shared" si="1"/>
        <v>-2.5899361834301748E-3</v>
      </c>
      <c r="K42" s="23"/>
    </row>
    <row r="43" spans="2:11" s="21" customFormat="1" x14ac:dyDescent="0.25">
      <c r="B43" s="21" t="s">
        <v>99</v>
      </c>
      <c r="F43" s="22">
        <v>411.61</v>
      </c>
      <c r="G43" s="23">
        <v>154.535</v>
      </c>
      <c r="H43" s="34">
        <f t="shared" si="0"/>
        <v>1.6635390041091016</v>
      </c>
      <c r="I43" s="23">
        <v>194.88300000000001</v>
      </c>
      <c r="J43" s="34">
        <f t="shared" si="1"/>
        <v>1.1120877654798007</v>
      </c>
      <c r="K43" s="23"/>
    </row>
    <row r="44" spans="2:11" s="21" customFormat="1" x14ac:dyDescent="0.25">
      <c r="B44" s="21" t="s">
        <v>24</v>
      </c>
      <c r="F44" s="22">
        <v>47945.203000000001</v>
      </c>
      <c r="G44" s="23">
        <v>46356.345000000001</v>
      </c>
      <c r="H44" s="34">
        <f t="shared" si="0"/>
        <v>3.427487650288219E-2</v>
      </c>
      <c r="I44" s="23">
        <v>47044.087</v>
      </c>
      <c r="J44" s="34">
        <f t="shared" si="1"/>
        <v>1.9154713322420358E-2</v>
      </c>
      <c r="K44" s="23"/>
    </row>
    <row r="45" spans="2:11" s="21" customFormat="1" x14ac:dyDescent="0.25">
      <c r="B45" s="21" t="s">
        <v>100</v>
      </c>
      <c r="F45" s="22">
        <v>2232.7489999999998</v>
      </c>
      <c r="G45" s="23">
        <v>2832.7730000000001</v>
      </c>
      <c r="H45" s="34">
        <f t="shared" si="0"/>
        <v>-0.21181506601482025</v>
      </c>
      <c r="I45" s="23">
        <v>1745.818</v>
      </c>
      <c r="J45" s="34">
        <f t="shared" si="1"/>
        <v>0.27891280763516013</v>
      </c>
      <c r="K45" s="23"/>
    </row>
    <row r="46" spans="2:11" x14ac:dyDescent="0.25">
      <c r="B46" s="21" t="s">
        <v>101</v>
      </c>
      <c r="C46" s="21"/>
      <c r="D46" s="21"/>
      <c r="E46" s="21"/>
      <c r="F46" s="22">
        <v>492.45</v>
      </c>
      <c r="G46" s="23">
        <v>420.10500000000002</v>
      </c>
      <c r="H46" s="34">
        <f t="shared" si="0"/>
        <v>0.17220694826293426</v>
      </c>
      <c r="I46" s="23">
        <v>550.66700000000003</v>
      </c>
      <c r="J46" s="34">
        <f t="shared" si="1"/>
        <v>-0.10572088031423721</v>
      </c>
      <c r="K46" s="11"/>
    </row>
    <row r="47" spans="2:11" x14ac:dyDescent="0.25">
      <c r="B47" s="1" t="s">
        <v>89</v>
      </c>
      <c r="F47" s="20">
        <v>445.86099999999999</v>
      </c>
      <c r="G47" s="23">
        <v>237.76</v>
      </c>
      <c r="H47" s="34">
        <f t="shared" si="0"/>
        <v>0.87525656123822348</v>
      </c>
      <c r="I47" s="25">
        <v>436.63900000000001</v>
      </c>
      <c r="J47" s="34">
        <f t="shared" si="1"/>
        <v>2.112042213361609E-2</v>
      </c>
      <c r="K47" s="11"/>
    </row>
    <row r="48" spans="2:11" x14ac:dyDescent="0.25">
      <c r="B48" s="19" t="s">
        <v>102</v>
      </c>
      <c r="F48" s="20">
        <v>621.39499999999998</v>
      </c>
      <c r="G48" s="23">
        <v>618.226</v>
      </c>
      <c r="H48" s="34">
        <f t="shared" si="0"/>
        <v>5.1259571742372501E-3</v>
      </c>
      <c r="I48" s="25">
        <v>616.654</v>
      </c>
      <c r="J48" s="34">
        <f t="shared" si="1"/>
        <v>7.6882660292481031E-3</v>
      </c>
      <c r="K48" s="11"/>
    </row>
    <row r="49" spans="2:11" x14ac:dyDescent="0.25">
      <c r="B49" s="1" t="s">
        <v>103</v>
      </c>
      <c r="F49" s="20">
        <v>471.93299999999999</v>
      </c>
      <c r="G49" s="23">
        <v>481.41899999999998</v>
      </c>
      <c r="H49" s="34">
        <f t="shared" si="0"/>
        <v>-1.9704249312968547E-2</v>
      </c>
      <c r="I49" s="25">
        <v>410.303</v>
      </c>
      <c r="J49" s="34">
        <f t="shared" si="1"/>
        <v>0.15020606722349084</v>
      </c>
      <c r="K49" s="11"/>
    </row>
    <row r="50" spans="2:11" x14ac:dyDescent="0.25">
      <c r="B50" s="19" t="s">
        <v>104</v>
      </c>
      <c r="F50" s="20">
        <v>379.36399999999998</v>
      </c>
      <c r="G50" s="23">
        <v>419.08699999999999</v>
      </c>
      <c r="H50" s="34">
        <f t="shared" si="0"/>
        <v>-9.4784615127646576E-2</v>
      </c>
      <c r="I50" s="25">
        <v>327.35700000000003</v>
      </c>
      <c r="J50" s="34">
        <f t="shared" si="1"/>
        <v>0.15886936891528203</v>
      </c>
      <c r="K50" s="11"/>
    </row>
    <row r="51" spans="2:11" x14ac:dyDescent="0.25">
      <c r="B51" s="19" t="s">
        <v>105</v>
      </c>
      <c r="F51" s="20">
        <v>247.16900000000001</v>
      </c>
      <c r="G51" s="23">
        <v>217.89699999999999</v>
      </c>
      <c r="H51" s="34">
        <f t="shared" si="0"/>
        <v>0.13433870131300574</v>
      </c>
      <c r="I51" s="25">
        <v>212.934</v>
      </c>
      <c r="J51" s="34">
        <f t="shared" si="1"/>
        <v>0.16077751791634975</v>
      </c>
      <c r="K51" s="25"/>
    </row>
    <row r="52" spans="2:11" ht="17.25" x14ac:dyDescent="0.3">
      <c r="B52" s="6" t="s">
        <v>106</v>
      </c>
      <c r="C52" s="6"/>
      <c r="D52" s="6"/>
      <c r="E52" s="6"/>
      <c r="F52" s="18">
        <f>+F40+F41+F47+F48+F49+F50+F51</f>
        <v>59494.710999999988</v>
      </c>
      <c r="G52" s="27">
        <f>+G40+G41+G47+G48+G49+G50+G51</f>
        <v>57491.811000000009</v>
      </c>
      <c r="H52" s="38">
        <f t="shared" si="0"/>
        <v>3.4838005016053053E-2</v>
      </c>
      <c r="I52" s="27">
        <f>+I40+I41+I47+I48+I49+I50+I51</f>
        <v>57806.445000000007</v>
      </c>
      <c r="J52" s="38">
        <f t="shared" si="1"/>
        <v>2.9205497760673271E-2</v>
      </c>
      <c r="K52" s="25"/>
    </row>
    <row r="53" spans="2:11" x14ac:dyDescent="0.25">
      <c r="B53" s="19" t="s">
        <v>30</v>
      </c>
      <c r="F53" s="20">
        <v>5802.0450000000001</v>
      </c>
      <c r="G53" s="25">
        <v>5626.45</v>
      </c>
      <c r="H53" s="34">
        <f t="shared" si="0"/>
        <v>3.1208843942450493E-2</v>
      </c>
      <c r="I53" s="25">
        <v>5843.3230000000003</v>
      </c>
      <c r="J53" s="34">
        <f t="shared" si="1"/>
        <v>-7.0641311459250788E-3</v>
      </c>
      <c r="K53" s="25"/>
    </row>
    <row r="54" spans="2:11" x14ac:dyDescent="0.25">
      <c r="B54" s="19" t="s">
        <v>139</v>
      </c>
      <c r="F54" s="20">
        <v>500.33600000000001</v>
      </c>
      <c r="G54" s="25">
        <v>650.71</v>
      </c>
      <c r="H54" s="34">
        <f t="shared" si="0"/>
        <v>-0.23109219160609185</v>
      </c>
      <c r="I54" s="25">
        <v>414.774</v>
      </c>
      <c r="J54" s="34">
        <f t="shared" si="1"/>
        <v>0.20628583276675982</v>
      </c>
      <c r="K54" s="25"/>
    </row>
    <row r="55" spans="2:11" x14ac:dyDescent="0.25">
      <c r="B55" s="19" t="s">
        <v>108</v>
      </c>
      <c r="F55" s="20">
        <v>7.5839999999999996</v>
      </c>
      <c r="G55" s="25">
        <v>10.558999999999999</v>
      </c>
      <c r="H55" s="34">
        <f t="shared" si="0"/>
        <v>-0.28175016573539158</v>
      </c>
      <c r="I55" s="25">
        <v>9.8170000000000002</v>
      </c>
      <c r="J55" s="34">
        <f t="shared" si="1"/>
        <v>-0.22746256493837225</v>
      </c>
      <c r="K55" s="25"/>
    </row>
    <row r="56" spans="2:11" s="6" customFormat="1" ht="17.25" x14ac:dyDescent="0.3">
      <c r="B56" s="6" t="s">
        <v>109</v>
      </c>
      <c r="F56" s="18">
        <f>+SUM(F53:F55)</f>
        <v>6309.9650000000001</v>
      </c>
      <c r="G56" s="27">
        <f>+SUM(G53:G55)</f>
        <v>6287.7190000000001</v>
      </c>
      <c r="H56" s="38">
        <f t="shared" si="0"/>
        <v>3.5380079803184472E-3</v>
      </c>
      <c r="I56" s="27">
        <f>+SUM(I53:I55)</f>
        <v>6267.9140000000007</v>
      </c>
      <c r="J56" s="38">
        <f t="shared" si="1"/>
        <v>6.7089305947720668E-3</v>
      </c>
      <c r="K56" s="27"/>
    </row>
    <row r="57" spans="2:11" ht="17.25" x14ac:dyDescent="0.3">
      <c r="B57" s="6" t="s">
        <v>110</v>
      </c>
      <c r="C57" s="6"/>
      <c r="D57" s="6"/>
      <c r="E57" s="6"/>
      <c r="F57" s="18">
        <f>+F52+F56</f>
        <v>65804.675999999992</v>
      </c>
      <c r="G57" s="27">
        <f>+G52+G56</f>
        <v>63779.530000000006</v>
      </c>
      <c r="H57" s="38">
        <f t="shared" si="0"/>
        <v>3.1752287920591149E-2</v>
      </c>
      <c r="I57" s="27">
        <f>+I52+I56</f>
        <v>64074.359000000011</v>
      </c>
      <c r="J57" s="38">
        <f t="shared" si="1"/>
        <v>2.7004827313215518E-2</v>
      </c>
    </row>
    <row r="58" spans="2:11" x14ac:dyDescent="0.25">
      <c r="B58" s="19"/>
      <c r="F58" s="12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5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111</v>
      </c>
    </row>
    <row r="12" spans="2:9" ht="17.25" x14ac:dyDescent="0.3">
      <c r="B12" s="6" t="s">
        <v>15</v>
      </c>
      <c r="G12" s="4"/>
    </row>
    <row r="13" spans="2:9" x14ac:dyDescent="0.25">
      <c r="B13" s="70" t="s">
        <v>16</v>
      </c>
      <c r="G13" s="4"/>
    </row>
    <row r="14" spans="2:9" x14ac:dyDescent="0.25">
      <c r="B14" s="7"/>
      <c r="C14" s="7"/>
      <c r="D14" s="7"/>
      <c r="E14" s="7"/>
      <c r="F14" s="8" t="str">
        <f>+'Balance sheet'!F14</f>
        <v>4Q21</v>
      </c>
      <c r="G14" s="9" t="str">
        <f>+'Balance sheet'!G14</f>
        <v>4Q20</v>
      </c>
      <c r="H14" s="9" t="s">
        <v>0</v>
      </c>
    </row>
    <row r="15" spans="2:9" x14ac:dyDescent="0.25">
      <c r="B15" s="1" t="s">
        <v>24</v>
      </c>
      <c r="F15" s="85">
        <f>+'Balance sheet'!F44</f>
        <v>47945.203000000001</v>
      </c>
      <c r="G15" s="11">
        <f>+'Balance sheet'!G44</f>
        <v>46356.345000000001</v>
      </c>
      <c r="H15" s="34">
        <f>IF(ISERROR($F15/G15),"-",$F15/G15-1)</f>
        <v>3.427487650288219E-2</v>
      </c>
      <c r="I15" s="12"/>
    </row>
    <row r="16" spans="2:9" s="5" customFormat="1" x14ac:dyDescent="0.25">
      <c r="B16" s="5" t="s">
        <v>112</v>
      </c>
      <c r="F16" s="86">
        <f>+'KF-B'!E24</f>
        <v>47117.945128780004</v>
      </c>
      <c r="G16" s="36">
        <f>+'KF-B'!F24</f>
        <v>45495.930037160004</v>
      </c>
      <c r="H16" s="37">
        <f t="shared" ref="H16:H26" si="0">IF(ISERROR($F16/G16),"-",$F16/G16-1)</f>
        <v>3.5651872382764349E-2</v>
      </c>
    </row>
    <row r="17" spans="2:11" x14ac:dyDescent="0.25">
      <c r="B17" s="1" t="s">
        <v>113</v>
      </c>
      <c r="F17" s="85">
        <v>4070.837</v>
      </c>
      <c r="G17" s="11">
        <v>3362.6160000000004</v>
      </c>
      <c r="H17" s="34">
        <f t="shared" si="0"/>
        <v>0.21061607986163144</v>
      </c>
    </row>
    <row r="18" spans="2:11" x14ac:dyDescent="0.25">
      <c r="B18" s="1" t="s">
        <v>114</v>
      </c>
      <c r="F18" s="85">
        <f>+F16-F17</f>
        <v>43047.108128780004</v>
      </c>
      <c r="G18" s="11">
        <f>+G16-G17</f>
        <v>42133.314037160002</v>
      </c>
      <c r="H18" s="34">
        <f t="shared" si="0"/>
        <v>2.1688160841420334E-2</v>
      </c>
    </row>
    <row r="19" spans="2:11" s="21" customFormat="1" x14ac:dyDescent="0.25">
      <c r="B19" s="21" t="s">
        <v>115</v>
      </c>
      <c r="F19" s="84">
        <v>37506.28</v>
      </c>
      <c r="G19" s="23">
        <v>34899.521000000001</v>
      </c>
      <c r="H19" s="39">
        <f t="shared" si="0"/>
        <v>7.469326011666455E-2</v>
      </c>
    </row>
    <row r="20" spans="2:11" s="21" customFormat="1" x14ac:dyDescent="0.25">
      <c r="B20" s="21" t="s">
        <v>116</v>
      </c>
      <c r="F20" s="84">
        <v>5537.7724020000005</v>
      </c>
      <c r="G20" s="23">
        <v>7230.3974020000005</v>
      </c>
      <c r="H20" s="39">
        <f t="shared" si="0"/>
        <v>-0.23409847424593877</v>
      </c>
    </row>
    <row r="21" spans="2:11" s="21" customFormat="1" x14ac:dyDescent="0.25">
      <c r="B21" s="21" t="s">
        <v>117</v>
      </c>
      <c r="F21" s="84">
        <v>1.2130000000000001</v>
      </c>
      <c r="G21" s="23">
        <v>1.264</v>
      </c>
      <c r="H21" s="39">
        <f t="shared" si="0"/>
        <v>-4.0348101265822778E-2</v>
      </c>
      <c r="K21" s="62"/>
    </row>
    <row r="22" spans="2:11" s="21" customFormat="1" x14ac:dyDescent="0.25">
      <c r="B22" s="21" t="s">
        <v>154</v>
      </c>
      <c r="F22" s="84">
        <v>1.8407267799999971</v>
      </c>
      <c r="G22" s="23">
        <v>2.1276351599999828</v>
      </c>
      <c r="H22" s="39">
        <f t="shared" si="0"/>
        <v>-0.13484848595940102</v>
      </c>
      <c r="K22" s="62"/>
    </row>
    <row r="23" spans="2:11" x14ac:dyDescent="0.25">
      <c r="B23" s="1" t="s">
        <v>9</v>
      </c>
      <c r="F23" s="85">
        <v>41496.159999999996</v>
      </c>
      <c r="G23" s="11">
        <v>38170.428</v>
      </c>
      <c r="H23" s="34">
        <f t="shared" si="0"/>
        <v>8.7128496437084646E-2</v>
      </c>
    </row>
    <row r="24" spans="2:11" x14ac:dyDescent="0.25">
      <c r="B24" s="1" t="s">
        <v>10</v>
      </c>
      <c r="F24" s="85">
        <v>5621.7851287800004</v>
      </c>
      <c r="G24" s="11">
        <v>7325.5020371600003</v>
      </c>
      <c r="H24" s="34">
        <f t="shared" si="0"/>
        <v>-0.23257339902952345</v>
      </c>
    </row>
    <row r="25" spans="2:11" x14ac:dyDescent="0.25">
      <c r="B25" s="1" t="s">
        <v>118</v>
      </c>
      <c r="F25" s="85">
        <f>+'KF-B'!E25</f>
        <v>28706.44204767</v>
      </c>
      <c r="G25" s="11">
        <f>+'KF-B'!F25</f>
        <v>24633.853393799996</v>
      </c>
      <c r="H25" s="34">
        <f t="shared" si="0"/>
        <v>0.16532487178376321</v>
      </c>
    </row>
    <row r="26" spans="2:11" s="5" customFormat="1" x14ac:dyDescent="0.25">
      <c r="B26" s="5" t="s">
        <v>28</v>
      </c>
      <c r="F26" s="86">
        <f>+F25+F16</f>
        <v>75824.387176450007</v>
      </c>
      <c r="G26" s="36">
        <f>+G25+G16</f>
        <v>70129.78343096</v>
      </c>
      <c r="H26" s="37">
        <f t="shared" si="0"/>
        <v>8.1200931571336232E-2</v>
      </c>
    </row>
    <row r="27" spans="2:11" x14ac:dyDescent="0.25">
      <c r="G27" s="11"/>
      <c r="H27" s="34"/>
    </row>
    <row r="28" spans="2:11" x14ac:dyDescent="0.25">
      <c r="G28" s="11"/>
      <c r="H28" s="34"/>
    </row>
    <row r="29" spans="2:11" x14ac:dyDescent="0.25">
      <c r="G29" s="11"/>
      <c r="H29" s="34"/>
    </row>
    <row r="34" spans="2:8" ht="17.25" x14ac:dyDescent="0.3">
      <c r="B34" s="6" t="s">
        <v>31</v>
      </c>
      <c r="G34" s="4"/>
    </row>
    <row r="35" spans="2:8" x14ac:dyDescent="0.25">
      <c r="B35" s="70" t="s">
        <v>16</v>
      </c>
      <c r="G35" s="4"/>
    </row>
    <row r="36" spans="2:8" x14ac:dyDescent="0.25">
      <c r="B36" s="7"/>
      <c r="C36" s="7"/>
      <c r="D36" s="7"/>
      <c r="E36" s="7"/>
      <c r="F36" s="8" t="str">
        <f t="shared" ref="F36:F43" si="1">+F14</f>
        <v>4Q21</v>
      </c>
      <c r="G36" s="9" t="str">
        <f>+'KF-B'!F36</f>
        <v>3Q21</v>
      </c>
      <c r="H36" s="9" t="s">
        <v>0</v>
      </c>
    </row>
    <row r="37" spans="2:8" x14ac:dyDescent="0.25">
      <c r="B37" s="1" t="s">
        <v>24</v>
      </c>
      <c r="F37" s="10">
        <f t="shared" si="1"/>
        <v>47945.203000000001</v>
      </c>
      <c r="G37" s="11">
        <f>+'Balance sheet'!I44</f>
        <v>47044.087</v>
      </c>
      <c r="H37" s="34">
        <f>IF(ISERROR($F37/G37),"-",$F37/G37-1)</f>
        <v>1.9154713322420358E-2</v>
      </c>
    </row>
    <row r="38" spans="2:8" x14ac:dyDescent="0.25">
      <c r="B38" s="5" t="s">
        <v>112</v>
      </c>
      <c r="C38" s="5"/>
      <c r="D38" s="5"/>
      <c r="E38" s="5"/>
      <c r="F38" s="17">
        <f t="shared" si="1"/>
        <v>47117.945128780004</v>
      </c>
      <c r="G38" s="36">
        <f>+'KF-B'!F46</f>
        <v>46203.754851049998</v>
      </c>
      <c r="H38" s="37">
        <f t="shared" ref="H38:H48" si="2">IF(ISERROR($F38/G38),"-",$F38/G38-1)</f>
        <v>1.9786060260191807E-2</v>
      </c>
    </row>
    <row r="39" spans="2:8" x14ac:dyDescent="0.25">
      <c r="B39" s="1" t="s">
        <v>113</v>
      </c>
      <c r="F39" s="10">
        <f t="shared" si="1"/>
        <v>4070.837</v>
      </c>
      <c r="G39" s="25">
        <v>3689.76</v>
      </c>
      <c r="H39" s="34">
        <f t="shared" si="2"/>
        <v>0.10327961710246725</v>
      </c>
    </row>
    <row r="40" spans="2:8" x14ac:dyDescent="0.25">
      <c r="B40" s="1" t="s">
        <v>114</v>
      </c>
      <c r="F40" s="10">
        <f t="shared" si="1"/>
        <v>43047.108128780004</v>
      </c>
      <c r="G40" s="11">
        <f>+G38-G39</f>
        <v>42513.994851049996</v>
      </c>
      <c r="H40" s="34">
        <f t="shared" si="2"/>
        <v>1.2539712619286769E-2</v>
      </c>
    </row>
    <row r="41" spans="2:8" x14ac:dyDescent="0.25">
      <c r="B41" s="21" t="s">
        <v>115</v>
      </c>
      <c r="C41" s="21"/>
      <c r="D41" s="21"/>
      <c r="E41" s="21"/>
      <c r="F41" s="22">
        <f t="shared" si="1"/>
        <v>37506.28</v>
      </c>
      <c r="G41" s="23">
        <v>36460.690999999999</v>
      </c>
      <c r="H41" s="39">
        <f t="shared" si="2"/>
        <v>2.8677158093356026E-2</v>
      </c>
    </row>
    <row r="42" spans="2:8" x14ac:dyDescent="0.25">
      <c r="B42" s="21" t="s">
        <v>116</v>
      </c>
      <c r="C42" s="21"/>
      <c r="D42" s="21"/>
      <c r="E42" s="21"/>
      <c r="F42" s="22">
        <f t="shared" si="1"/>
        <v>5537.7724020000005</v>
      </c>
      <c r="G42" s="23">
        <v>6050.2644019999989</v>
      </c>
      <c r="H42" s="39">
        <f t="shared" si="2"/>
        <v>-8.4705719609640018E-2</v>
      </c>
    </row>
    <row r="43" spans="2:8" x14ac:dyDescent="0.25">
      <c r="B43" s="21" t="s">
        <v>117</v>
      </c>
      <c r="C43" s="21"/>
      <c r="D43" s="21"/>
      <c r="E43" s="21"/>
      <c r="F43" s="22">
        <f t="shared" si="1"/>
        <v>1.2130000000000001</v>
      </c>
      <c r="G43" s="23">
        <v>1.2190000000000001</v>
      </c>
      <c r="H43" s="39">
        <f t="shared" si="2"/>
        <v>-4.9220672682526168E-3</v>
      </c>
    </row>
    <row r="44" spans="2:8" x14ac:dyDescent="0.25">
      <c r="B44" s="21" t="s">
        <v>154</v>
      </c>
      <c r="C44" s="21"/>
      <c r="D44" s="21"/>
      <c r="E44" s="21"/>
      <c r="F44" s="22">
        <f>+F22</f>
        <v>1.8407267799999971</v>
      </c>
      <c r="G44" s="23">
        <v>1.8144490500000003</v>
      </c>
      <c r="H44" s="39">
        <f>IF(ISERROR($F44/G44),"-",$F44/G44-1)</f>
        <v>1.4482484366258097E-2</v>
      </c>
    </row>
    <row r="45" spans="2:8" x14ac:dyDescent="0.25">
      <c r="B45" s="1" t="s">
        <v>9</v>
      </c>
      <c r="F45" s="10">
        <f t="shared" ref="F45:F48" si="3">+F23</f>
        <v>41496.159999999996</v>
      </c>
      <c r="G45" s="11">
        <v>40104.256000000001</v>
      </c>
      <c r="H45" s="34">
        <f t="shared" si="2"/>
        <v>3.4707139312096791E-2</v>
      </c>
    </row>
    <row r="46" spans="2:8" x14ac:dyDescent="0.25">
      <c r="B46" s="1" t="s">
        <v>10</v>
      </c>
      <c r="F46" s="10">
        <f t="shared" si="3"/>
        <v>5621.7851287800004</v>
      </c>
      <c r="G46" s="11">
        <v>6099.4988510499988</v>
      </c>
      <c r="H46" s="34">
        <f t="shared" si="2"/>
        <v>-7.832015939928616E-2</v>
      </c>
    </row>
    <row r="47" spans="2:8" x14ac:dyDescent="0.25">
      <c r="B47" s="1" t="s">
        <v>118</v>
      </c>
      <c r="F47" s="10">
        <f t="shared" si="3"/>
        <v>28706.44204767</v>
      </c>
      <c r="G47" s="11">
        <f>+'KF-B'!F47</f>
        <v>27821.242301250004</v>
      </c>
      <c r="H47" s="34">
        <f t="shared" si="2"/>
        <v>3.1817405449943603E-2</v>
      </c>
    </row>
    <row r="48" spans="2:8" x14ac:dyDescent="0.25">
      <c r="B48" s="5" t="s">
        <v>28</v>
      </c>
      <c r="C48" s="5"/>
      <c r="D48" s="5"/>
      <c r="E48" s="5"/>
      <c r="F48" s="17">
        <f t="shared" si="3"/>
        <v>75824.387176450007</v>
      </c>
      <c r="G48" s="36">
        <f>+G47+G38</f>
        <v>74024.997152299999</v>
      </c>
      <c r="H48" s="37">
        <f t="shared" si="2"/>
        <v>2.4307870224539396E-2</v>
      </c>
    </row>
    <row r="49" spans="7:8" x14ac:dyDescent="0.25">
      <c r="G49" s="11"/>
      <c r="H49" s="34"/>
    </row>
    <row r="50" spans="7:8" x14ac:dyDescent="0.25">
      <c r="G50" s="11"/>
      <c r="H50" s="34"/>
    </row>
    <row r="51" spans="7:8" x14ac:dyDescent="0.25">
      <c r="G51" s="11"/>
      <c r="H51" s="34"/>
    </row>
    <row r="52" spans="7:8" x14ac:dyDescent="0.25">
      <c r="G52" s="11"/>
      <c r="H52" s="34"/>
    </row>
    <row r="53" spans="7:8" x14ac:dyDescent="0.25">
      <c r="G53" s="11"/>
      <c r="H53" s="34"/>
    </row>
    <row r="54" spans="7:8" x14ac:dyDescent="0.25">
      <c r="G54" s="11"/>
      <c r="H54" s="34"/>
    </row>
    <row r="55" spans="7:8" x14ac:dyDescent="0.25">
      <c r="G55" s="11"/>
      <c r="H55" s="34"/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119</v>
      </c>
    </row>
    <row r="12" spans="2:8" ht="17.25" x14ac:dyDescent="0.3">
      <c r="B12" s="6" t="s">
        <v>15</v>
      </c>
      <c r="G12" s="4"/>
    </row>
    <row r="13" spans="2:8" x14ac:dyDescent="0.25">
      <c r="B13" s="70" t="s">
        <v>16</v>
      </c>
      <c r="G13" s="4"/>
    </row>
    <row r="14" spans="2:8" x14ac:dyDescent="0.25">
      <c r="B14" s="7"/>
      <c r="C14" s="7"/>
      <c r="D14" s="7"/>
      <c r="E14" s="7"/>
      <c r="F14" s="8" t="str">
        <f>+'Customer funds'!F14</f>
        <v>4Q21</v>
      </c>
      <c r="G14" s="9" t="str">
        <f>+'Customer funds'!G14</f>
        <v>4Q20</v>
      </c>
      <c r="H14" s="9" t="s">
        <v>0</v>
      </c>
    </row>
    <row r="15" spans="2:8" x14ac:dyDescent="0.25">
      <c r="B15" s="5" t="s">
        <v>21</v>
      </c>
      <c r="C15" s="5"/>
      <c r="D15" s="5"/>
      <c r="E15" s="5"/>
      <c r="F15" s="17">
        <f>+'Balance sheet'!F29</f>
        <v>47516.159</v>
      </c>
      <c r="G15" s="36">
        <f>+'Balance sheet'!G29</f>
        <v>44261.675000000003</v>
      </c>
      <c r="H15" s="65">
        <f>+F15/G15-1</f>
        <v>7.3528261187584931E-2</v>
      </c>
    </row>
    <row r="16" spans="2:8" s="21" customFormat="1" x14ac:dyDescent="0.25">
      <c r="B16" s="21" t="s">
        <v>120</v>
      </c>
      <c r="F16" s="84">
        <v>48245.495000000003</v>
      </c>
      <c r="G16" s="23">
        <v>44996.474000000002</v>
      </c>
      <c r="H16" s="26">
        <f t="shared" ref="H16:H23" si="0">+F16/G16-1</f>
        <v>7.2206124417659945E-2</v>
      </c>
    </row>
    <row r="17" spans="2:8" x14ac:dyDescent="0.25">
      <c r="B17" s="1" t="s">
        <v>113</v>
      </c>
      <c r="F17" s="85">
        <v>4976.6810000000005</v>
      </c>
      <c r="G17" s="11">
        <v>3750.665</v>
      </c>
      <c r="H17" s="26">
        <f t="shared" si="0"/>
        <v>0.32687963334502035</v>
      </c>
    </row>
    <row r="18" spans="2:8" x14ac:dyDescent="0.25">
      <c r="B18" s="1" t="s">
        <v>114</v>
      </c>
      <c r="F18" s="85">
        <v>43268.813999999998</v>
      </c>
      <c r="G18" s="11">
        <v>41245.809000000008</v>
      </c>
      <c r="H18" s="26">
        <f t="shared" si="0"/>
        <v>4.9047528683459518E-2</v>
      </c>
    </row>
    <row r="19" spans="2:8" x14ac:dyDescent="0.25">
      <c r="B19" s="21" t="s">
        <v>121</v>
      </c>
      <c r="C19" s="21"/>
      <c r="D19" s="21"/>
      <c r="E19" s="21"/>
      <c r="F19" s="84">
        <v>34066.072</v>
      </c>
      <c r="G19" s="23">
        <v>33207.341999999997</v>
      </c>
      <c r="H19" s="63">
        <f t="shared" si="0"/>
        <v>2.5859642725997167E-2</v>
      </c>
    </row>
    <row r="20" spans="2:8" x14ac:dyDescent="0.25">
      <c r="B20" s="21" t="s">
        <v>122</v>
      </c>
      <c r="C20" s="21"/>
      <c r="D20" s="21"/>
      <c r="E20" s="21"/>
      <c r="F20" s="84">
        <v>9202.7419999999984</v>
      </c>
      <c r="G20" s="23">
        <v>8038.4670000000115</v>
      </c>
      <c r="H20" s="63">
        <f t="shared" si="0"/>
        <v>0.14483793987087146</v>
      </c>
    </row>
    <row r="21" spans="2:8" x14ac:dyDescent="0.25">
      <c r="B21" s="5" t="s">
        <v>123</v>
      </c>
      <c r="C21" s="5"/>
      <c r="D21" s="5"/>
      <c r="E21" s="5"/>
      <c r="F21" s="86">
        <v>34147.289000000004</v>
      </c>
      <c r="G21" s="36">
        <v>32901.512999999999</v>
      </c>
      <c r="H21" s="65">
        <f t="shared" si="0"/>
        <v>3.7863790640874306E-2</v>
      </c>
    </row>
    <row r="22" spans="2:8" x14ac:dyDescent="0.25">
      <c r="B22" s="21" t="s">
        <v>121</v>
      </c>
      <c r="C22" s="21"/>
      <c r="D22" s="21"/>
      <c r="E22" s="21"/>
      <c r="F22" s="84">
        <v>31871.332999999999</v>
      </c>
      <c r="G22" s="23">
        <v>30727.091</v>
      </c>
      <c r="H22" s="63">
        <f t="shared" si="0"/>
        <v>3.7238865208554905E-2</v>
      </c>
    </row>
    <row r="23" spans="2:8" x14ac:dyDescent="0.25">
      <c r="B23" s="21" t="s">
        <v>122</v>
      </c>
      <c r="C23" s="21"/>
      <c r="D23" s="21"/>
      <c r="E23" s="21"/>
      <c r="F23" s="84">
        <v>2275.9560000000056</v>
      </c>
      <c r="G23" s="23">
        <v>2174.4219999999987</v>
      </c>
      <c r="H23" s="63">
        <f t="shared" si="0"/>
        <v>4.6694707835004845E-2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31</v>
      </c>
      <c r="G30" s="4"/>
    </row>
    <row r="31" spans="2:8" x14ac:dyDescent="0.25">
      <c r="B31" s="70" t="s">
        <v>16</v>
      </c>
      <c r="G31" s="4"/>
    </row>
    <row r="32" spans="2:8" x14ac:dyDescent="0.25">
      <c r="B32" s="7"/>
      <c r="C32" s="7"/>
      <c r="D32" s="7"/>
      <c r="E32" s="7"/>
      <c r="F32" s="8" t="str">
        <f>+F14</f>
        <v>4Q21</v>
      </c>
      <c r="G32" s="9" t="str">
        <f>+'KF-B'!F36</f>
        <v>3Q21</v>
      </c>
      <c r="H32" s="9" t="s">
        <v>0</v>
      </c>
    </row>
    <row r="33" spans="2:8" x14ac:dyDescent="0.25">
      <c r="B33" s="5" t="s">
        <v>21</v>
      </c>
      <c r="C33" s="5"/>
      <c r="D33" s="5"/>
      <c r="E33" s="5"/>
      <c r="F33" s="17">
        <f>+F15</f>
        <v>47516.159</v>
      </c>
      <c r="G33" s="36">
        <f>+'Balance sheet'!I29</f>
        <v>46883.902999999998</v>
      </c>
      <c r="H33" s="65">
        <f>+F33/G33-1</f>
        <v>1.3485566677330585E-2</v>
      </c>
    </row>
    <row r="34" spans="2:8" x14ac:dyDescent="0.25">
      <c r="B34" s="21" t="s">
        <v>120</v>
      </c>
      <c r="C34" s="21"/>
      <c r="D34" s="21"/>
      <c r="E34" s="21"/>
      <c r="F34" s="22">
        <f t="shared" ref="F34:F41" si="1">+F16</f>
        <v>48245.495000000003</v>
      </c>
      <c r="G34" s="23">
        <v>47663.106</v>
      </c>
      <c r="H34" s="26">
        <f t="shared" ref="H34:H41" si="2">+F34/G34-1</f>
        <v>1.221886378953152E-2</v>
      </c>
    </row>
    <row r="35" spans="2:8" x14ac:dyDescent="0.25">
      <c r="B35" s="1" t="s">
        <v>113</v>
      </c>
      <c r="F35" s="10">
        <f t="shared" si="1"/>
        <v>4976.6810000000005</v>
      </c>
      <c r="G35" s="11">
        <v>4930.2940000000008</v>
      </c>
      <c r="H35" s="26">
        <f>+F35/G35-1</f>
        <v>9.4085667102203896E-3</v>
      </c>
    </row>
    <row r="36" spans="2:8" x14ac:dyDescent="0.25">
      <c r="B36" s="1" t="s">
        <v>114</v>
      </c>
      <c r="F36" s="10">
        <f t="shared" si="1"/>
        <v>43268.813999999998</v>
      </c>
      <c r="G36" s="11">
        <v>42732.811999999998</v>
      </c>
      <c r="H36" s="26">
        <f t="shared" si="2"/>
        <v>1.254310153986582E-2</v>
      </c>
    </row>
    <row r="37" spans="2:8" x14ac:dyDescent="0.25">
      <c r="B37" s="21" t="s">
        <v>121</v>
      </c>
      <c r="C37" s="21"/>
      <c r="D37" s="21"/>
      <c r="E37" s="21"/>
      <c r="F37" s="22">
        <f t="shared" si="1"/>
        <v>34066.072</v>
      </c>
      <c r="G37" s="23">
        <v>34042.845000000001</v>
      </c>
      <c r="H37" s="63">
        <f t="shared" si="2"/>
        <v>6.8228727651864496E-4</v>
      </c>
    </row>
    <row r="38" spans="2:8" x14ac:dyDescent="0.25">
      <c r="B38" s="21" t="s">
        <v>122</v>
      </c>
      <c r="C38" s="21"/>
      <c r="D38" s="21"/>
      <c r="E38" s="21"/>
      <c r="F38" s="22">
        <f t="shared" si="1"/>
        <v>9202.7419999999984</v>
      </c>
      <c r="G38" s="23">
        <v>8689.9669999999969</v>
      </c>
      <c r="H38" s="63">
        <f t="shared" si="2"/>
        <v>5.9007703941798884E-2</v>
      </c>
    </row>
    <row r="39" spans="2:8" x14ac:dyDescent="0.25">
      <c r="B39" s="5" t="s">
        <v>123</v>
      </c>
      <c r="C39" s="5"/>
      <c r="D39" s="5"/>
      <c r="E39" s="5"/>
      <c r="F39" s="17">
        <f t="shared" si="1"/>
        <v>34147.289000000004</v>
      </c>
      <c r="G39" s="36">
        <v>33959.999000000003</v>
      </c>
      <c r="H39" s="65">
        <f t="shared" si="2"/>
        <v>5.5150178302421082E-3</v>
      </c>
    </row>
    <row r="40" spans="2:8" x14ac:dyDescent="0.25">
      <c r="B40" s="21" t="s">
        <v>121</v>
      </c>
      <c r="C40" s="21"/>
      <c r="D40" s="21"/>
      <c r="E40" s="21"/>
      <c r="F40" s="22">
        <f t="shared" si="1"/>
        <v>31871.332999999999</v>
      </c>
      <c r="G40" s="23">
        <v>31741.441999999999</v>
      </c>
      <c r="H40" s="63">
        <f t="shared" si="2"/>
        <v>4.0921581319461886E-3</v>
      </c>
    </row>
    <row r="41" spans="2:8" x14ac:dyDescent="0.25">
      <c r="B41" s="21" t="s">
        <v>122</v>
      </c>
      <c r="C41" s="21"/>
      <c r="D41" s="21"/>
      <c r="E41" s="21"/>
      <c r="F41" s="22">
        <f t="shared" si="1"/>
        <v>2275.9560000000056</v>
      </c>
      <c r="G41" s="23">
        <v>2218.5570000000043</v>
      </c>
      <c r="H41" s="63">
        <f t="shared" si="2"/>
        <v>2.5872222349933471E-2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Contents</vt:lpstr>
      <vt:lpstr>KF-B</vt:lpstr>
      <vt:lpstr>KF-P</vt:lpstr>
      <vt:lpstr>KF-C&amp;L</vt:lpstr>
      <vt:lpstr>KF-O</vt:lpstr>
      <vt:lpstr>P&amp;L</vt:lpstr>
      <vt:lpstr>Balance sheet</vt:lpstr>
      <vt:lpstr>Customer funds</vt:lpstr>
      <vt:lpstr>Customer loans</vt:lpstr>
      <vt:lpstr>NPL+Cov</vt:lpstr>
      <vt:lpstr>Solvency</vt:lpstr>
      <vt:lpstr>'Balance sheet'!Área_de_impresión</vt:lpstr>
      <vt:lpstr>'Customer funds'!Área_de_impresión</vt:lpstr>
      <vt:lpstr>'Customer loans'!Área_de_impresión</vt:lpstr>
      <vt:lpstr>'KF-B'!Área_de_impresión</vt:lpstr>
      <vt:lpstr>'KF-C&amp;L'!Área_de_impresión</vt:lpstr>
      <vt:lpstr>'KF-O'!Área_de_impresión</vt:lpstr>
      <vt:lpstr>'KF-P'!Área_de_impresión</vt:lpstr>
      <vt:lpstr>'NPL+Cov'!Área_de_impresión</vt:lpstr>
      <vt:lpstr>'P&amp;L'!Área_de_impresión</vt:lpstr>
      <vt:lpstr>Solvency!Área_de_impresión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2020-08-10T10:49:10Z</cp:lastPrinted>
  <dcterms:created xsi:type="dcterms:W3CDTF">2017-01-30T09:33:19Z</dcterms:created>
  <dcterms:modified xsi:type="dcterms:W3CDTF">2022-02-24T12:10:48Z</dcterms:modified>
</cp:coreProperties>
</file>